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40" windowWidth="28695" windowHeight="11505" activeTab="0"/>
  </bookViews>
  <sheets>
    <sheet name="NOTAS PLANILHA" sheetId="1" r:id="rId1"/>
    <sheet name="ORÇAMENTO" sheetId="2" r:id="rId2"/>
    <sheet name="CRONOGRAMA" sheetId="3" r:id="rId3"/>
  </sheets>
  <definedNames>
    <definedName name="_xlnm.Print_Area" localSheetId="0">'NOTAS PLANILHA'!$A$1:$A$38</definedName>
    <definedName name="_xlnm.Print_Area" localSheetId="1">'ORÇAMENTO'!$A$1:$F$380</definedName>
    <definedName name="_xlnm.Print_Titles" localSheetId="2">'CRONOGRAMA'!$1:$8</definedName>
    <definedName name="_xlnm.Print_Titles" localSheetId="1">'ORÇAMENTO'!$1:$8</definedName>
  </definedNames>
  <calcPr fullCalcOnLoad="1"/>
</workbook>
</file>

<file path=xl/sharedStrings.xml><?xml version="1.0" encoding="utf-8"?>
<sst xmlns="http://schemas.openxmlformats.org/spreadsheetml/2006/main" count="1057" uniqueCount="772">
  <si>
    <t>Item</t>
  </si>
  <si>
    <t>Especificação do Serviço</t>
  </si>
  <si>
    <t>Und.</t>
  </si>
  <si>
    <t>Preço Unitário</t>
  </si>
  <si>
    <t>'01</t>
  </si>
  <si>
    <t>SERVIÇOS PRELIMINARES</t>
  </si>
  <si>
    <t>'0102</t>
  </si>
  <si>
    <t>DEMOLIÇÕES E RETIRADAS</t>
  </si>
  <si>
    <t>Demolição de piso cimentado inclusive lastro de concreto</t>
  </si>
  <si>
    <t>m2</t>
  </si>
  <si>
    <t>'010202</t>
  </si>
  <si>
    <t>Demolição de piso revestido com cerâmica</t>
  </si>
  <si>
    <t>'010203</t>
  </si>
  <si>
    <t>Demolição de piso revestido com cerâmica inclusive lastro de concreto</t>
  </si>
  <si>
    <t>'010204</t>
  </si>
  <si>
    <t>Demolição de piso revestido com tacos de madeira</t>
  </si>
  <si>
    <t>Demolição de revestimento com azulejos</t>
  </si>
  <si>
    <t>'010208</t>
  </si>
  <si>
    <t>Retirada de revestimento antigo em reboco</t>
  </si>
  <si>
    <t>'010209</t>
  </si>
  <si>
    <t>Demolição de alvenaria</t>
  </si>
  <si>
    <t>m3</t>
  </si>
  <si>
    <t>'010210</t>
  </si>
  <si>
    <t>Demolição manual de concreto simples (EMOP 05.001.001)</t>
  </si>
  <si>
    <t>'010214</t>
  </si>
  <si>
    <t>Retirada de portas e janelas de madeira, inclusive batentes</t>
  </si>
  <si>
    <t>'010215</t>
  </si>
  <si>
    <t>Retirada de esquadrias metálicas</t>
  </si>
  <si>
    <t>'010216</t>
  </si>
  <si>
    <t>Retirada de meio-fio de concreto</t>
  </si>
  <si>
    <t>m</t>
  </si>
  <si>
    <t>'010219</t>
  </si>
  <si>
    <t>Demolição manual de concreto armado (EMOP 05.001.033)</t>
  </si>
  <si>
    <t>und</t>
  </si>
  <si>
    <t>'010223</t>
  </si>
  <si>
    <t>Retirada de aparelhos sanitários</t>
  </si>
  <si>
    <t>'010224</t>
  </si>
  <si>
    <t>Retirada de grades, gradis, alambrados, cercas e portões</t>
  </si>
  <si>
    <t>'010225</t>
  </si>
  <si>
    <t>Retirada de bancada de pia</t>
  </si>
  <si>
    <t>'010227</t>
  </si>
  <si>
    <t>Retirada de caixa d'água de fibrocimento, inclusive tubulação de ligação</t>
  </si>
  <si>
    <t>'010230</t>
  </si>
  <si>
    <t>Retirada de pintura antiga a base de PVA</t>
  </si>
  <si>
    <t>'010234</t>
  </si>
  <si>
    <t>Demolição de laje pré-moldada de concreto</t>
  </si>
  <si>
    <t>'010238</t>
  </si>
  <si>
    <t>Apicoamento de superfície com revestimento em argamassa</t>
  </si>
  <si>
    <t>Retirada de divisórias com reaproveitamento</t>
  </si>
  <si>
    <t>'010240</t>
  </si>
  <si>
    <t>Retirada de pontos elétricos (luminárias, interruptores e tomadas)</t>
  </si>
  <si>
    <t>'010256</t>
  </si>
  <si>
    <t>Remoção de telha ondulada de fibrocimento, inclusive cumeeira</t>
  </si>
  <si>
    <t>'010259</t>
  </si>
  <si>
    <t>Retirada de rodapé de madeira ou cerâmica</t>
  </si>
  <si>
    <t>'010271</t>
  </si>
  <si>
    <t>Retirada de caixas/quadros elétricos</t>
  </si>
  <si>
    <t>'0103</t>
  </si>
  <si>
    <t>'010315</t>
  </si>
  <si>
    <t>Retirada de cobertura em telhas Canalete 49</t>
  </si>
  <si>
    <t>'010323</t>
  </si>
  <si>
    <t>Retirada de torneiras e registros</t>
  </si>
  <si>
    <t>'010325</t>
  </si>
  <si>
    <t>Demolição de estrutura de madeira para telhado</t>
  </si>
  <si>
    <t>'010326</t>
  </si>
  <si>
    <t>Retirada de estrutura em madeira do telhado</t>
  </si>
  <si>
    <t>'010329</t>
  </si>
  <si>
    <t>Retirada de disjuntor</t>
  </si>
  <si>
    <t>'010331</t>
  </si>
  <si>
    <t>Demolição de piso, soleira, peitoris e escadas em mármore ou granito, exclusive regularização</t>
  </si>
  <si>
    <t>'02</t>
  </si>
  <si>
    <t>INSTALAÇÃO DO CANTEIRO DE OBRAS</t>
  </si>
  <si>
    <t>'0203</t>
  </si>
  <si>
    <t>TAPUMES, BARRACÕES E COBERTURAS</t>
  </si>
  <si>
    <t>'020305</t>
  </si>
  <si>
    <t>Placa de obra nas dimensões de 2.0 x 4.0 m, padrão IOPES</t>
  </si>
  <si>
    <t>'020339</t>
  </si>
  <si>
    <t>Locação de andaime metálico para trabalho em fachada de edifíco (aluguel de 1 m² por 1 mês) inclusive frete, montagem e desmontagem</t>
  </si>
  <si>
    <t>Locação de andaime metálico para fachada - tipo torre (aluguel mensal)</t>
  </si>
  <si>
    <t>Fornecimento e instalação de proteção para andaime fachadeiro considerando plataforma, rodapé e guarda-corpo em madeira, inclusive entelamento, conforme NR-18 (medido por m2 de fachada)</t>
  </si>
  <si>
    <t>ms</t>
  </si>
  <si>
    <t>'0207</t>
  </si>
  <si>
    <t>INSTALAÇÃO DO CANTEIRO DE OBRAS (UTILIZAÇÃO 1 VEZ), PROJETO PADRÃO LABOR - NR.18 (OBRAS COM PRAZO DE EXECUÇÃO SUPERIOR A 12 MESES)</t>
  </si>
  <si>
    <t>'020712</t>
  </si>
  <si>
    <t>Rede de água com padrão de entrada d'água diâm. 3/4", conf. espec. CESAN, incl. tubos e conexões para alimentação, distribuição, extravasor e limpeza, cons. o padrão a 25m, conf. projeto (1 utilização)</t>
  </si>
  <si>
    <t>'020713</t>
  </si>
  <si>
    <t>Rede de luz, incl. padrão entrada de energia trifás., cabo de ligação até barracões, quadro de distrib., disj. e chave de força (quando necessário), cons. 20m entre padrão entrada e QDG, conf. projeto (1 utilização)</t>
  </si>
  <si>
    <t>'020714</t>
  </si>
  <si>
    <t>Rede de esgoto, contendo fossa e filtro, inclusive tubos e conexões de ligação entre caixas, considerando distância de 25m, conforme projeto (1 utilização)</t>
  </si>
  <si>
    <t>'03</t>
  </si>
  <si>
    <t>MOVIMENTO DE TERRA</t>
  </si>
  <si>
    <t>'0301</t>
  </si>
  <si>
    <t>ESCAVAÇÕES</t>
  </si>
  <si>
    <t>'030101</t>
  </si>
  <si>
    <t>Escavação manual em material de 1a. categoria, até 1.50 m de profundidade</t>
  </si>
  <si>
    <t>'0302</t>
  </si>
  <si>
    <t>REATERRO E COMPACTAÇÃO</t>
  </si>
  <si>
    <t>'030201</t>
  </si>
  <si>
    <t>Reaterro apiloado de cavas de fundação, em camadas de 20 cm</t>
  </si>
  <si>
    <t>'0303</t>
  </si>
  <si>
    <t>TRANSPORTES</t>
  </si>
  <si>
    <t>'030304</t>
  </si>
  <si>
    <t>Índice de preço para remoção de entulho decorrente da execução de obras (Classe A CONAMA - NBR 10.004 - Classe II-B), incluindo aluguel da caçamba, carga, transporte e descarga em área licenciada</t>
  </si>
  <si>
    <t>'030306</t>
  </si>
  <si>
    <t>Transporte de material encosta abaixo, serviço inteiramente manual, a 10m de distância, considerados ao longo da encosta, inclusive carga e descarga (txdam)</t>
  </si>
  <si>
    <t>'04</t>
  </si>
  <si>
    <t>ESTRUTURAS</t>
  </si>
  <si>
    <t>'0402</t>
  </si>
  <si>
    <t>INFRA-ESTRUTURA (FUNDAÇÃO)</t>
  </si>
  <si>
    <t>Fornecimento, preparo e aplicação de concreto Fck=25 MPa (brita 1 e 2) - (5% de perdas já incluído no custo)</t>
  </si>
  <si>
    <t>Fornecimento, dobragem e colocação em fôrma, de armadura CA-50 A média, diâmetro de 6.3 a 10.0 mm</t>
  </si>
  <si>
    <t>kg</t>
  </si>
  <si>
    <t>Fornecimento, dobragem e colocação em fôrma, de armadura CA-60 B fina, diâmetro de 4.0 a 7.0mm</t>
  </si>
  <si>
    <t>'040249</t>
  </si>
  <si>
    <t>Fôrma de tábua de madeira de 2.5x30.0cm, levando-se em conta utilização 1 vez (incluindo o material, corte, montagem, escoramento e desforma)</t>
  </si>
  <si>
    <t>'0403</t>
  </si>
  <si>
    <t>SUPER-ESTRUTURA</t>
  </si>
  <si>
    <t>'040324</t>
  </si>
  <si>
    <t>'040328</t>
  </si>
  <si>
    <t>'040333</t>
  </si>
  <si>
    <t>'040339</t>
  </si>
  <si>
    <t>Forma de chapas madeira compensada resinada, esp. 12mm, levando-se em conta a utilização 3 vezes, reforçadas com sarrafos de madeira de 2.5 x 10.0cm (incl material, corte, montagem, escoras em eucalipto e desforma)</t>
  </si>
  <si>
    <t>'0406</t>
  </si>
  <si>
    <t>LAJES PRÉ-MOLDADAS</t>
  </si>
  <si>
    <t>'040602</t>
  </si>
  <si>
    <t>Laje pré-moldada, sobrecarga 300 Kg/m2, vão de 3.5m a 4.3m, capeamento 4cm, esp. 12cm, Fck = 150 Kg/cm2</t>
  </si>
  <si>
    <t>'0408</t>
  </si>
  <si>
    <t>RECUPERAÇÃO DE ESTRUTURAS</t>
  </si>
  <si>
    <t>'040802</t>
  </si>
  <si>
    <t>Remoção cuidadosa do concreto afetado, através de escarificação (considerando esp. escarificada de 5cm)</t>
  </si>
  <si>
    <t>'040803</t>
  </si>
  <si>
    <t>Preparação do substrato para reparo em estrutura de concreto por apicoamento manual da superfície</t>
  </si>
  <si>
    <t>'040806</t>
  </si>
  <si>
    <t>Limpeza de aço com lixamento e escovamento com escova de aço, até a completa remoção de partículas soltas, materiais indesejáveis e corrosão</t>
  </si>
  <si>
    <t>'040807</t>
  </si>
  <si>
    <t>Aplicação de Sika Top 108 Armatec ou equivalente, nas ferragens a serem recuperadas</t>
  </si>
  <si>
    <t>'040809</t>
  </si>
  <si>
    <t>Recomposição de concreto danificado, com utilização de argamassa Sika Grout ou equivalente (considerando esp. 5cm)</t>
  </si>
  <si>
    <t>'040816</t>
  </si>
  <si>
    <t>Aplicação de Oxiprimer ou equivalente, nas ferragens a serem recuperadas</t>
  </si>
  <si>
    <t>'040818</t>
  </si>
  <si>
    <t>Revestimento externo com argamassa corretiva tipo Sika Monotop 622 BR ou equivalente, esp. 5mm</t>
  </si>
  <si>
    <t>'05</t>
  </si>
  <si>
    <t>PAREDES E PAINÉIS</t>
  </si>
  <si>
    <t>'0502</t>
  </si>
  <si>
    <t>PLACAS E PAINÉIS DIVISÓRIOS</t>
  </si>
  <si>
    <t>'050202</t>
  </si>
  <si>
    <t>Fornecimento e instalação de divisórias novas com acabamento de chapa de fibra de madeira, sistema de montagem simplificado, espessura de 35mm e miolo em colméia no padrão painel/painel</t>
  </si>
  <si>
    <t>'050203</t>
  </si>
  <si>
    <t>Fornecimento e instalação de porta para divisória de 80 X 210 cm incluindo dobradiças e fechadura interna</t>
  </si>
  <si>
    <t>'050205</t>
  </si>
  <si>
    <t>Divisória de granito com 3 cm de espessura, assentada com argamassa de cimento e areia no traço 1:3, na cor cinza</t>
  </si>
  <si>
    <t>'0503</t>
  </si>
  <si>
    <t>VERGAS/CONTRAVERGA</t>
  </si>
  <si>
    <t>'050301</t>
  </si>
  <si>
    <t>Verga/contraverga reta de concreto armado 10 x 5 cm, Fck = 15 MPa, inclusive forma, armação e desforma</t>
  </si>
  <si>
    <t>'0506</t>
  </si>
  <si>
    <t>ALVENARIA DE VEDAÇÃO EMPREGANDO ARGAMASSA DE CIMENTO, CAL E AREIA</t>
  </si>
  <si>
    <t>'050605</t>
  </si>
  <si>
    <t>Alvenaria de blocos cerâmicos 10 furos 10x20x20cm, assentados c/argamassa de cimento, cal hidratada CH1 e areia traço 1:0,5:8, juntas 12mm e esp. das paredes s/revestimento, 10cm (bloco comprado na praça de Vitória, posto obra)</t>
  </si>
  <si>
    <t>'06</t>
  </si>
  <si>
    <t>ESQUADRIAS DE MADEIRA</t>
  </si>
  <si>
    <t>'0601</t>
  </si>
  <si>
    <t>MARCOS E ALIZARES</t>
  </si>
  <si>
    <t>'060101</t>
  </si>
  <si>
    <t>Marco de madeira de lei de 1ª (Peroba, Ipê, Angelim Pedra ou equivalente) com 15x3 cm de batente, nas dimensões de 0.60 x 2.10 m</t>
  </si>
  <si>
    <t>'060103</t>
  </si>
  <si>
    <t>Marco de madeira de lei de 1ª (Peroba, Ipê, Angelim Pedra ou equivalente) com 15x3 cm de batente, nas dimensões de 0.80 x 2.10 m</t>
  </si>
  <si>
    <t>'0613</t>
  </si>
  <si>
    <t>PORTA EM MADEIRA DE LEI TIPO ANGELIM PEDRA OU EQUIV.C/ENCHIMENTO EM MADEIRA 1A.QUALIDADE ESP. 30MM P/ PINTURA, INCLUSIVE ALIZARES, DOBRADIÇAS E FECHADURA EXTERNA, EXCLUSIVE MARCO</t>
  </si>
  <si>
    <t>'061301</t>
  </si>
  <si>
    <t>Porta em madeira de lei tipo angelim pedra ou equiv.c/enchimento em madeira 1a.qualidade esp. 30mm p/ pintura, inclusive alizares, dobradiças e fechadura externa em latão cromado LaFonte ou equiv., exclusive marco, nas dim.:0.60 x 2.10 m</t>
  </si>
  <si>
    <t>'061303</t>
  </si>
  <si>
    <t>Porta em madeira de lei tipo angelim pedra ou equiv.c/enchimento em madeira 1a.qualidade esp. 30mm p/ pintura, inclusive alizares, dobradiças e fechadura externa em latão cromado LaFonte ou equiv., exclusive marco, nas dim.: 0.80 x 2.10 m</t>
  </si>
  <si>
    <t>REVISÕES E REPAROS</t>
  </si>
  <si>
    <t>'07</t>
  </si>
  <si>
    <t>ESQUADRIAS METÁLICAS</t>
  </si>
  <si>
    <t>'0717</t>
  </si>
  <si>
    <t>ESQUADRIAS METÁLICAS (M2)</t>
  </si>
  <si>
    <t>'071701</t>
  </si>
  <si>
    <t>Janela de correr para vidro em alumínio anodizado cor natural, linha 25, completa, incl. puxador com tranca, alizar, caixilho e contramarco, exclusive vidro</t>
  </si>
  <si>
    <t>'071702</t>
  </si>
  <si>
    <t>Báscula para vidro em alumínio anodizado cor natural, linha 25, completa, com tranca, caixilho, alizar e contramarco, exclusive vidro</t>
  </si>
  <si>
    <t>'071703</t>
  </si>
  <si>
    <t>Janela tipo maxim-ar para vidro em alumínio anodizado natural, linha 25, completa, incl. puxador com tranca, caixilho, alizar e contramarco, exclusive vidro</t>
  </si>
  <si>
    <t>'071704</t>
  </si>
  <si>
    <t>Porta de abrir tipo veneziana em alumínio anodizado, linha 25, completa, incl. puxador com tranca, caixilho, alizar e contramarco</t>
  </si>
  <si>
    <t>'0718</t>
  </si>
  <si>
    <t>'071801</t>
  </si>
  <si>
    <t>Escovamento com escova de aço em esquadrias de ferro</t>
  </si>
  <si>
    <t>'08</t>
  </si>
  <si>
    <t>VIDROS E ESPELHOS</t>
  </si>
  <si>
    <t>'0801</t>
  </si>
  <si>
    <t>VIDROS PARA ESQUADRIAS</t>
  </si>
  <si>
    <t>'080102</t>
  </si>
  <si>
    <t>Vidro plano transparente liso, com 4 mm de espessura</t>
  </si>
  <si>
    <t>'0802</t>
  </si>
  <si>
    <t>ESPELHOS</t>
  </si>
  <si>
    <t>'080202</t>
  </si>
  <si>
    <t>Espelho espessura 4 mm, incluindo chapa compensada 6mm, moldura de peça de madeira 7x2.5cm fixada com parafuso e bucha conforme detalhe em projeto</t>
  </si>
  <si>
    <t>'09</t>
  </si>
  <si>
    <t>COBERTURA</t>
  </si>
  <si>
    <t>'0901</t>
  </si>
  <si>
    <t>ESTRUTURA PARA TELHADO</t>
  </si>
  <si>
    <t>'090102</t>
  </si>
  <si>
    <t>Estrutura de madeira de lei tipo Paraju, peroba mica, angelim pedra ou equivalente para telhado de telha ondulada de fibrocimento esp. 6mm, com pontaletes e caibros, inclusive tratamento com cupinicida, exclusive telhas</t>
  </si>
  <si>
    <t>'0902</t>
  </si>
  <si>
    <t>TELHADO</t>
  </si>
  <si>
    <t>'090202</t>
  </si>
  <si>
    <t>Cobertura nova de telhas onduladas de fibrocimento 6.0mm, inclusive cumeeiras e acessórios de fixação</t>
  </si>
  <si>
    <t>Cumeeira para cobertura em telhas onduladas de fibrocimento 6.0mm</t>
  </si>
  <si>
    <t>'0903</t>
  </si>
  <si>
    <t>RUFOS E CALHAS</t>
  </si>
  <si>
    <t>'090301</t>
  </si>
  <si>
    <t>Rufo de concreto armado Fck=15 MPa, nas dimensões de 30x5 cm, moldado "in loco"</t>
  </si>
  <si>
    <t>'090305</t>
  </si>
  <si>
    <t>Calha de concreto armado Fck=15 MPa em "U" nas dimensões de 38 x 56 cm conforme detalhes em projeto</t>
  </si>
  <si>
    <t>'0904</t>
  </si>
  <si>
    <t>PLATIBANDA</t>
  </si>
  <si>
    <t>'090403</t>
  </si>
  <si>
    <t>Platibanda de alvenaria de bloco cerâmico 10x20x20cm, assentado com argamassa de cimento, cal hidratada CH1 e areia no traço 1:0,5:8, amarrada com pilaretes em conc. arm. a cada 2m (H=1.0m), excl. revest.</t>
  </si>
  <si>
    <t>'10</t>
  </si>
  <si>
    <t>IMPERMEABILIZAÇÃO</t>
  </si>
  <si>
    <t>'1002</t>
  </si>
  <si>
    <t>IMPERMEABILIZAÇÃO CALHAS, LAJES DESCOBERTAS, BALDRAMES, PAREDES E JARDINEIRAS</t>
  </si>
  <si>
    <t>'100208</t>
  </si>
  <si>
    <t>Índice de imperm.c/ manta asfáltica atendendo NBR 9952, asfalto polimerizado esp.3mm, reforç.c/ filme int. polietileno, regul. base c/ arg.1:4 esp.mín.15mm, proteção mec. arg.1:4 esp.20mm e juntas dilat.</t>
  </si>
  <si>
    <t>'11</t>
  </si>
  <si>
    <t>TETOS E FORROS</t>
  </si>
  <si>
    <t>REVESTIMENTO COM ARGAMASSA</t>
  </si>
  <si>
    <t>'1102</t>
  </si>
  <si>
    <t>REBAIXAMENTOS</t>
  </si>
  <si>
    <t>'110201</t>
  </si>
  <si>
    <t>Forro de gesso acabamento tipo liso</t>
  </si>
  <si>
    <t>'1103</t>
  </si>
  <si>
    <t>REVESTIMENTO EMPREGANDO ARGAMASSA DE CIMENTO, CAL E AREIA</t>
  </si>
  <si>
    <t>Reboco tipo paulista de argamassa de cimento, cal hidratada CH1 e areia lavada traço 1:0.5:6, espessura 25 mm</t>
  </si>
  <si>
    <t>'12</t>
  </si>
  <si>
    <t>REVESTIMENTO DE PAREDES</t>
  </si>
  <si>
    <t>'1201</t>
  </si>
  <si>
    <t>'120101</t>
  </si>
  <si>
    <t>Chapisco de argamassa de cimento e areia média ou grossa lavada, no traço 1:3, espessura 5 mm</t>
  </si>
  <si>
    <t>'1202</t>
  </si>
  <si>
    <t>ACABAMENTOS</t>
  </si>
  <si>
    <t>'120208</t>
  </si>
  <si>
    <t>Acabamento de alumínio com perfil de canto para arremate das paredes</t>
  </si>
  <si>
    <t>Roda parede em granito cinza andorinha 7x2cm, com acabamento abaulado nos dois lados</t>
  </si>
  <si>
    <t>'120232</t>
  </si>
  <si>
    <t>Cerâmica 10 x 10 cm, ref Camburi branco Eliane, Cecrisa ou Portobello, empregando argamassa colante, inclusive rejuntamento junta plus cinza claro esp. 3 mm</t>
  </si>
  <si>
    <t>Cerâmica retificada, acabamento brilhante, dim. 32x44cm, ref. de cor OVIEDO PURO BRANCO Biancogres/equiv. assentado com argamassa de cimento colante, inclusive rejuntamento com argamassapre-fabricada para rejunte</t>
  </si>
  <si>
    <t>'1203</t>
  </si>
  <si>
    <t>'120301</t>
  </si>
  <si>
    <t>Emboço de argamassa de cimento, cal hidratada CH1 e areia média ou grossa lavada no traço 1:0.5:6, espessura 20 mm</t>
  </si>
  <si>
    <t>'120303</t>
  </si>
  <si>
    <t>Reboco tipo paulista de argamassa de cimento, cal hidratada CH1 e areia média ou grossa lavada no traço 1:0.5:6, espessura 25 mm</t>
  </si>
  <si>
    <t>'13</t>
  </si>
  <si>
    <t>PISOS INTERNOS E EXTERNOS</t>
  </si>
  <si>
    <t>'1301</t>
  </si>
  <si>
    <t>LASTRO DE CONTRAPISO</t>
  </si>
  <si>
    <t>'130104</t>
  </si>
  <si>
    <t>Regularização de base p/ revestimento cerâmico, com argamassa de cimento e areia no traço 1:5, espessura 5cm</t>
  </si>
  <si>
    <t>Lastro de concreto não estrutural, espessura de 6 cm</t>
  </si>
  <si>
    <t>'1302</t>
  </si>
  <si>
    <t>Junta plástica 17 x 3 mm, para pisos corridos, inclusive fornecimento e colocação</t>
  </si>
  <si>
    <t>'130232</t>
  </si>
  <si>
    <t>Porcelanato polido, acabamento brilhante, dim. 50x50cm, ref. de cor PANNA PLUS PO Eliane/equiv, utilizando dupla colagem de argamassa colante para porcelanato tipo ACIII e rejunte 1mm para porcelanato</t>
  </si>
  <si>
    <t>'130235</t>
  </si>
  <si>
    <t>Piso cerâmico esmaltado, PEI 5, acabamento semibrilho, dim. 44x44cm, ref. de cor IMOLA ICE Biancogres/equiv. assentado com argamassa de cimento colante, inclusive rejuntamento com cimento branco</t>
  </si>
  <si>
    <t>'1303</t>
  </si>
  <si>
    <t>DEGRAUS, RODAPÉS, SOLEIRAS E PEITORIS</t>
  </si>
  <si>
    <t>'130308</t>
  </si>
  <si>
    <t>Soleira de granito esp. 2 cm e largura de 15 cm</t>
  </si>
  <si>
    <t>Peitoril de granito cinza polido, 15 cm, esp. 3cm</t>
  </si>
  <si>
    <t>'130320</t>
  </si>
  <si>
    <t>Rodapé em cerâmica PEI-3, h = 7cm, assentado com argamassa de cimento, cal e areia, incl. rejuntamento com cimento branco</t>
  </si>
  <si>
    <t>'1304</t>
  </si>
  <si>
    <t>'130403</t>
  </si>
  <si>
    <t>Recomposição de piso cimentado, com argamassa de cimento e areia no traço 1:3, com 2 cm de espessura, incl. lastro</t>
  </si>
  <si>
    <t>'14</t>
  </si>
  <si>
    <t>INSTALAÇÕES HIDRO-SANITÁRIAS</t>
  </si>
  <si>
    <t>'1407</t>
  </si>
  <si>
    <t>PONTOS HIDRO-SANITÁRIOS</t>
  </si>
  <si>
    <t>Ponto de água fria (lavatório, tanque, pia de cozinha, etc...)</t>
  </si>
  <si>
    <t>pt</t>
  </si>
  <si>
    <t>Ponto com registro de pressão (chuveiro, caixa de descarga, etc...)</t>
  </si>
  <si>
    <t>'140705</t>
  </si>
  <si>
    <t>Ponto para esgoto primário (vaso sanitário)</t>
  </si>
  <si>
    <t>'140706</t>
  </si>
  <si>
    <t>Ponto para esgoto secundário (pia, lavatório, mictório, tanque, bidê, etc...)</t>
  </si>
  <si>
    <t>'140709</t>
  </si>
  <si>
    <t>Ponto para ralo seco, inclusive ralo pvc 10 cm com grelha em pvc</t>
  </si>
  <si>
    <t>'140710</t>
  </si>
  <si>
    <t>Ponto para caixa sifonada, inclusive caixa sifonada pvc 150x150x50mm com grelha em aço inox</t>
  </si>
  <si>
    <t>'140711</t>
  </si>
  <si>
    <t>Ponto para ralo sifonado, inclusive ralo sifonado 100 x 40 mm c/ grelha em açõ inox</t>
  </si>
  <si>
    <t>'1409</t>
  </si>
  <si>
    <t>TUBULAÇÃO DE LIGAÇÃO DE CAIXAS</t>
  </si>
  <si>
    <t>'140903</t>
  </si>
  <si>
    <t>Tubo PVC rígido para esgoto no diâmetro de 100mm incluindo escavação e aterro com areia</t>
  </si>
  <si>
    <t>'140906</t>
  </si>
  <si>
    <t>Tubo PVC rígido para esgoto no diâmetro de 75 mm incluindo escavação e aterro com areia</t>
  </si>
  <si>
    <t>'1411</t>
  </si>
  <si>
    <t>CAIXAS EMPREGANDO ARGAMASSA DE CIMENTO, CAL E AREIA</t>
  </si>
  <si>
    <t>'141110</t>
  </si>
  <si>
    <t>Caixa de inspeção em alv. bloco concreto 9x19x39cm, dim. 60x60cm e Hmáx=1m, c/ tampa de ferro fundido 40x40cm, lastro de concreto esp.10cm, revest. interno c/ chapisco e reboco impermeabiliz, incl. escavação, reaterro e enchimento</t>
  </si>
  <si>
    <t>'141111</t>
  </si>
  <si>
    <t>Caixa de areia em alv. de bloco de concreto 9x19x39, dim. 60x60cm e Hmáx=1m, c/ tampa em ferro fundido, lastro de concreto esp. 10cm, revest. int. c/ chapisco e reboco impermeabilizado, incl. escavação e reaterro</t>
  </si>
  <si>
    <t>'141113</t>
  </si>
  <si>
    <t>Caixa de gordura em alv. bloco 9x19x39cm, dim. 60x60cm e Hmáx=1.0m, c/ tampa de ferro fundido, lastro concr. esp. 10cm, revest. intern. c/ chapisco e reboco impermeab., escavação, reaterro e parede int. em concreto</t>
  </si>
  <si>
    <t>'1414</t>
  </si>
  <si>
    <t>REDE DE ÁGUA FRIA - TUBOS SOLDÁVEIS DE PVC</t>
  </si>
  <si>
    <t>'141410</t>
  </si>
  <si>
    <t>Tubo de PVC rígido soldável marrom, diâm. 25mm (3/4"), inclusive conexões</t>
  </si>
  <si>
    <t>'141411</t>
  </si>
  <si>
    <t>Tubo de PVC rigido soldável marrom, diâm. 32mm (1"), inclusive conexões</t>
  </si>
  <si>
    <t>Tubo de PVC rígido soldável marrom, diâm. 50mm (11/2"), inclusive conexões</t>
  </si>
  <si>
    <t>'1415</t>
  </si>
  <si>
    <t>REDE DE ÁGUA FRIA - CONEXÕES SOLDÁVEIS DE PVC</t>
  </si>
  <si>
    <t>'141522</t>
  </si>
  <si>
    <t>Adaptador de PVC soldável com flanges livres para caixa d'água, diâmetro 25mm (3/4")</t>
  </si>
  <si>
    <t>'141525</t>
  </si>
  <si>
    <t>Adaptador de PVC soldável com flanges livres para caixa d'água, diâmetro 50mm (1 1/2")</t>
  </si>
  <si>
    <t>'1419</t>
  </si>
  <si>
    <t>REDE DE ESGOTO - TUBOS DE PVC</t>
  </si>
  <si>
    <t>Tubo de PVC rígido soldável branco, para esgoto, diâmetro 40mm (1 1/2"), inclusive conexões</t>
  </si>
  <si>
    <t>Tubo de PVC rígido soldável branco, para esgoto, diâmetro 50mm (2"), inclusive conexões</t>
  </si>
  <si>
    <t>Tubo de PVC rígido soldável branco, para esgoto, diâmetro 100mm (4"), inclusive conexões</t>
  </si>
  <si>
    <t>'1421</t>
  </si>
  <si>
    <t>CAIXAS DE PVC / EQUIPAMENTOS</t>
  </si>
  <si>
    <t>'142111</t>
  </si>
  <si>
    <t>Caixa sifonada em PVC, diâm. 150mm, com grelha e porta grelha quadrados, em aço inox</t>
  </si>
  <si>
    <t>'142119</t>
  </si>
  <si>
    <t>Torneira de bóia de PVC, diâm. 3/4" (20mm)</t>
  </si>
  <si>
    <t>'142124</t>
  </si>
  <si>
    <t>Adaptador de PVC com flanges livres para caixa d'água de 25mmx3/4"</t>
  </si>
  <si>
    <t>'1422</t>
  </si>
  <si>
    <t>ABERTURA E FECHAMENTO DE RASGOS (inclusive preparo e aplicação de argamassa)</t>
  </si>
  <si>
    <t>Abertura e fechamento de rasgos em alvenaria, para passagem de tubulações, diâm. 1/2" a 1"</t>
  </si>
  <si>
    <t>'142202</t>
  </si>
  <si>
    <t>Abertura e fechamento de rasgos em alvenaria, para passagem de tubulações, diâm. 11/4" a 2"</t>
  </si>
  <si>
    <t>'142203</t>
  </si>
  <si>
    <t>Abertura e fechamento de rasgos em alvenaria, para passagem de tubulações, diâm. 21/2 a 4"</t>
  </si>
  <si>
    <t>'142204</t>
  </si>
  <si>
    <t>Abertura e fechamento de rasgos em concreto, para passagem de tubulações, diâm. 1/2" a 1"</t>
  </si>
  <si>
    <t>'142205</t>
  </si>
  <si>
    <t>Abertura e fechamento de rasgos em concreto, para passagem de tubulações, diâm. 11/4" a 2"</t>
  </si>
  <si>
    <t>'142206</t>
  </si>
  <si>
    <t>Abertura e fechamento de rasgos em concreto, para passagem de tubulações, diâm. 2 1/2"a 4"</t>
  </si>
  <si>
    <t>'15</t>
  </si>
  <si>
    <t>INSTALAÇÕES ELÉTRICAS</t>
  </si>
  <si>
    <t>'1506</t>
  </si>
  <si>
    <t>CAIXAS DE PASSAGEM</t>
  </si>
  <si>
    <t>'150623</t>
  </si>
  <si>
    <t>Caixa de passagem 4x2", chapa 18</t>
  </si>
  <si>
    <t>'150628</t>
  </si>
  <si>
    <t>Caixa de embutir marca de referência Tigreflex, 4x2"</t>
  </si>
  <si>
    <t>'150629</t>
  </si>
  <si>
    <t>Caixa de embutir marca de referência Tigreflex, 4x4"</t>
  </si>
  <si>
    <t>'150630</t>
  </si>
  <si>
    <t>Caixa de passagem 4x4", chapa 18</t>
  </si>
  <si>
    <t>'150632</t>
  </si>
  <si>
    <t>Caixa de passagem 150x150x80mm, chapa 18, com tampa parafusada</t>
  </si>
  <si>
    <t>'150633</t>
  </si>
  <si>
    <t>Caixa de passagem 200x200x100mm, chapa 18, com tampa parafusada</t>
  </si>
  <si>
    <t>'150634</t>
  </si>
  <si>
    <t>Caixa de passagem 300x300x120mm, chapa 18, com tampa parafusada</t>
  </si>
  <si>
    <t>INSTALAÇÕES APARENTES</t>
  </si>
  <si>
    <t>'150801</t>
  </si>
  <si>
    <t>Eletroduto aparente de PVC rígido roscável diâmetro 3/4"</t>
  </si>
  <si>
    <t>'150802</t>
  </si>
  <si>
    <t>Caixa de ligação de alumínio silício, tipo CONDULETES, no formato B, inclusive tampa, diâmetro 3/4"</t>
  </si>
  <si>
    <t>Caixa de ligação de alumínio silício, tipo CONDULETES, no formato T, inclusive tampa, diâmetro 3/4"</t>
  </si>
  <si>
    <t>'150804</t>
  </si>
  <si>
    <t>Caixa de ligação de alumínio silício, tipo CONDULETES, no formato LR, inclusive tampa, diâmetro 3/4"</t>
  </si>
  <si>
    <t>'150805</t>
  </si>
  <si>
    <t>Caixa de ligação de alumínio silício, tipo CONDULETES, no formato X, inclusive tampa, diâmetro 3/4"</t>
  </si>
  <si>
    <t>'150806</t>
  </si>
  <si>
    <t>Eletroduto aparente de PVC rígido roscável diâmetro 1"</t>
  </si>
  <si>
    <t>'150880</t>
  </si>
  <si>
    <t>Suporte de fixação de eletroduto no teto, através de fita metálica perfurada (Walsiwa) ou equiv (1,30m), cursor (1 und), h=60cm, suporte "Y" (1 und), parafuso e bucha S8 (1 und)</t>
  </si>
  <si>
    <t>'1509</t>
  </si>
  <si>
    <t>COMPOSIÇÕES INTERMEDIÁRIAS P/ ELETRICA</t>
  </si>
  <si>
    <t>Arame galvanizado 12 BWG (0.048 kg/m)</t>
  </si>
  <si>
    <t>'150918</t>
  </si>
  <si>
    <t>Fita isolante em rolo de 19mm x 20 m, número 33 Scoth ou equivalente</t>
  </si>
  <si>
    <t>'1511</t>
  </si>
  <si>
    <t>ELETRODUTOS E CONEXÕES</t>
  </si>
  <si>
    <t>'151126</t>
  </si>
  <si>
    <t>Eletroduto de PVC rígido roscável, diâm. 3/4" (25mm), inclusive conexões</t>
  </si>
  <si>
    <t>Eletroduto de PVC rígido roscável, diâm. 1 1/4" (40mm), inclusive conexões</t>
  </si>
  <si>
    <t>Eletroduto de PVC rígido roscável, diâm. 1 1/2" (50mm), inclusive conexões</t>
  </si>
  <si>
    <t>Eletroduto de PVC rígido roscável, diâm. 2" (60mm), inclusive conexões</t>
  </si>
  <si>
    <t>'151132</t>
  </si>
  <si>
    <t>Eletroduto flexível corrugado 3/4" , marca de referência TIGRE</t>
  </si>
  <si>
    <t>'1513</t>
  </si>
  <si>
    <t>CHAVES, FUSIVEIS E DISJUNTORES</t>
  </si>
  <si>
    <t>'151301</t>
  </si>
  <si>
    <t>Mini-Disjuntor monopolar 16 A, curva C - 5KA 220/127VCA (NBR IEC 60947-2), Ref. Siemens, GE, Schneider ou equivalente</t>
  </si>
  <si>
    <t>'151302</t>
  </si>
  <si>
    <t>Mini-Disjuntor monopolar 20 A, curva C - 5KA 220/127VCA (NBR IEC 60947-2), Ref. Siemens, GE, Schneider ou equivalente</t>
  </si>
  <si>
    <t>'151306</t>
  </si>
  <si>
    <t>Mini-Disjuntor bipolar 16 A, curva C - 5KA 220/127VCA (NBR IEC 60947-2), Ref. Siemens, GE, Schneider ou equivalente</t>
  </si>
  <si>
    <t>'151311</t>
  </si>
  <si>
    <t>Mini-Disjuntor tripolar 50 A, curva C - 5KA 220/127VCA (NBR IEC 60947-2), Ref. Siemens, GE, Schneider ou equivalente</t>
  </si>
  <si>
    <t>'151322</t>
  </si>
  <si>
    <t>Mini-Disjuntor bipolar 32 A, curva C - 5KA 220/127VCA (NBR IEC 60947-2), Ref. Siemens, GE, Schneider ou equivalente</t>
  </si>
  <si>
    <t>'151331</t>
  </si>
  <si>
    <t>Mini-Disjuntor tripolar 80 A, curva C - 15KA 240VCA (NBR IEC 60947-2), Ref. Siemens, GE, Schneider ou equivalente</t>
  </si>
  <si>
    <t>'151336</t>
  </si>
  <si>
    <t>Disjuntor DR bipolar 20A, corrente nominal 30 mA</t>
  </si>
  <si>
    <t>'151339</t>
  </si>
  <si>
    <t>Mini-Disjuntor tripolar 125 A, curva C - 15KA 240VCA (NBR IEC 60947-2), Ref. Siemens, GE, Schneider ou equivalente</t>
  </si>
  <si>
    <t>'151350</t>
  </si>
  <si>
    <t>Interruptor Diferencial DR 25A, 30mA, 2 módulos</t>
  </si>
  <si>
    <t>'1514</t>
  </si>
  <si>
    <t>FIOS E CABOS</t>
  </si>
  <si>
    <t>'151402</t>
  </si>
  <si>
    <t>Fio de cobre termoplástico, com isolamento para 750V, seção de 2.5 mm2</t>
  </si>
  <si>
    <t>Fio ou cabo de cobre termoplástico, com isolamento para 750V, seção de 4.0 mm2</t>
  </si>
  <si>
    <t>'151420</t>
  </si>
  <si>
    <t>Fio ou cabo de cobre termoplástico, com isolamento para 1000V, seção de 10.0 mm2</t>
  </si>
  <si>
    <t>'151421</t>
  </si>
  <si>
    <t>Fio ou cabo de cobre termoplástico, com isolamento para 0.6/1000V - 70º, seção de 16.0 mm2</t>
  </si>
  <si>
    <t>'151425</t>
  </si>
  <si>
    <t>Cabo de cobre termoplástico, com isolamento para 1000V, seção de 50 mm2</t>
  </si>
  <si>
    <t>'1516</t>
  </si>
  <si>
    <t>'151601</t>
  </si>
  <si>
    <t>Abertura e fechamento de rasgos em alvenaria, para passagem de eletrodutos diâm. 1/2" a 1"</t>
  </si>
  <si>
    <t>Abertura e fechamento de rasgos em alvenaria, para passagem de eletroduto diâm. 1 1/4"a 2"</t>
  </si>
  <si>
    <t>'1519</t>
  </si>
  <si>
    <t>QUADROS DE DISTRIBUIÇÃO COM BARRAMENTO, TRINCO E FECHADURA</t>
  </si>
  <si>
    <t>'151901</t>
  </si>
  <si>
    <t>Quadro distrib. energia, embutido ou semi embutido, capac. p/ 16 disj. DIN, c/barram trif. 100A barra. neutro e terra, fab. em chapa de aço 12 USG com porta, espelho, trinco com fechad ch yale, Ref. QDTN II-16DIN-CEMAR ou equiv.</t>
  </si>
  <si>
    <t>'1520</t>
  </si>
  <si>
    <t>TERMINAIS, CONECTORES E ABRAÇADEIRAS</t>
  </si>
  <si>
    <t>'152001</t>
  </si>
  <si>
    <t>Terminal para ligação de cabo a barra de 4.0mm2</t>
  </si>
  <si>
    <t>'152003</t>
  </si>
  <si>
    <t>Terminal para ligação de cabo a barra de 10.0 mm2</t>
  </si>
  <si>
    <t>'152004</t>
  </si>
  <si>
    <t>Terminal para ligação de cabo a barra de 16.0 mm2</t>
  </si>
  <si>
    <t>'152007</t>
  </si>
  <si>
    <t>Terminal para ligação de cabo a barra de 50.0 mm2</t>
  </si>
  <si>
    <t>'152013</t>
  </si>
  <si>
    <t>Terminal para ligação de cabo a barra de 150 mm2</t>
  </si>
  <si>
    <t>'16</t>
  </si>
  <si>
    <t>OUTRAS INSTALAÇÕES</t>
  </si>
  <si>
    <t>'1606</t>
  </si>
  <si>
    <t>INSTALAÇÃO DE INCÊNDIO</t>
  </si>
  <si>
    <t>'160604</t>
  </si>
  <si>
    <t>Extintor de incêndio de água pressurizada capacidade 2A (10L), inclusive suporte para fixação e EXCLUSIVE placa sinalizadora em PVC Fotoluminescente</t>
  </si>
  <si>
    <t>'160607</t>
  </si>
  <si>
    <t>Extintor de incêndio portátil de pó químico ABC com capacidade 2A-20B:C (4 kg), inclusive suporte para fixação, EXCLUSIVE placa sinalizadora em PVC fotoluminescente</t>
  </si>
  <si>
    <t>'1608</t>
  </si>
  <si>
    <t>INSTALAÇÃO DE REDE LÓGICA</t>
  </si>
  <si>
    <t>'160806</t>
  </si>
  <si>
    <t>Espelho 4" x 2" com conector RJ 45 fêmea CAT. 5</t>
  </si>
  <si>
    <t>'160807</t>
  </si>
  <si>
    <t>Conector RJ 45 macho</t>
  </si>
  <si>
    <t>'160808</t>
  </si>
  <si>
    <t>Cabo par trançado CAT 5E</t>
  </si>
  <si>
    <t>'17</t>
  </si>
  <si>
    <t>APARELHOS HIDRO-SANITÁRIOS</t>
  </si>
  <si>
    <t>'1701</t>
  </si>
  <si>
    <t>LOUÇAS</t>
  </si>
  <si>
    <t>'170132</t>
  </si>
  <si>
    <t>Lavátorio de canto Coleção Master - ref. L76 marca de ref. Deca ou equivalente, inclusive válvula, sifão e engates cromados, exclusive torneira,para PNE</t>
  </si>
  <si>
    <t>'170136</t>
  </si>
  <si>
    <t>Bacia sanitária de louça branca, com caixa acoplada duplo acionamento, marca de ref. Deca Linha Ravena ou equivalente, inclusive assento plástico e acessórios de fixação</t>
  </si>
  <si>
    <t>'1702</t>
  </si>
  <si>
    <t>BANCADAS</t>
  </si>
  <si>
    <t>'170220</t>
  </si>
  <si>
    <t>Bancada de granito com espessura de 2 cm</t>
  </si>
  <si>
    <t>TORNEIRAS, REGISTROS, VÁLVULAS E METAIS</t>
  </si>
  <si>
    <t>'170321</t>
  </si>
  <si>
    <t>Registro de gaveta bruto diam. 25mm (1")</t>
  </si>
  <si>
    <t>'170324</t>
  </si>
  <si>
    <t>Registro de gaveta bruto diam. 50mm (2")</t>
  </si>
  <si>
    <t>'170328</t>
  </si>
  <si>
    <t>Registro de gaveta com canopla cromada, diam. 20mm (3/4"), marcas de referência Fabrimar, Deca ou Docol</t>
  </si>
  <si>
    <t>'170329</t>
  </si>
  <si>
    <t>Registro de gaveta com canopla cromada diam. 25mm (1"), marcas de referência Fabrimar, Deca ou Docol</t>
  </si>
  <si>
    <t>'170351</t>
  </si>
  <si>
    <t>Torneira de parede cromada, marcas de referência Fabrimar (linha prática, ref.1157) , Deca ou Docol</t>
  </si>
  <si>
    <t>'170353</t>
  </si>
  <si>
    <t>Torneira para lavatório linha anti-vandalismo, marcas de referência Fabrimar, Deca ou Docol</t>
  </si>
  <si>
    <t>'1705</t>
  </si>
  <si>
    <t>OUTROS APARELHOS</t>
  </si>
  <si>
    <t>'170512</t>
  </si>
  <si>
    <t>Cuba de aço inox n° 1(dim.460x300x150)mm, marcas de referência Franke, Strake, tramontina, inclusive válvula de metal 31/2" e sifão cromado 1 x 1/2", excl. torneira</t>
  </si>
  <si>
    <t>Tanque simples de aço inox Fischer, mod. TQ1-S AISI 304, ou equivalente nas marcas Metalpress ou Mekal, inclusive válvula de metal 1 1/4" e sifão cromado 2", excl. torneira</t>
  </si>
  <si>
    <t>'170519</t>
  </si>
  <si>
    <t>Ducha manual Acqua jet , linha Aquarius, com registro ref.C 2195, marcas de referência Fabrimar, Deca ou Docol</t>
  </si>
  <si>
    <t>'170524</t>
  </si>
  <si>
    <t>Cabide simples de um gancho, linha Versailles, ref. 08, acabamento cromado, da Moldenox, Docol ou Deca</t>
  </si>
  <si>
    <t>'170562</t>
  </si>
  <si>
    <t>Bebebedouro elétrico de pressão para portadores de necessidades especiais IBBL BDF300 ou equivalente</t>
  </si>
  <si>
    <t>'18</t>
  </si>
  <si>
    <t>APARELHOS ELÉTRICOS</t>
  </si>
  <si>
    <t>'1801</t>
  </si>
  <si>
    <t>LUMINÁRIAS</t>
  </si>
  <si>
    <t>'180101</t>
  </si>
  <si>
    <t>Luminária p/ duas lâmpadas fluorescentes 20W, completa, c/ reator duplo-127V partida rápida e alto fator de potência, soquete antivibratório e lâmpada fluorescente 20W-127V</t>
  </si>
  <si>
    <t>'180110</t>
  </si>
  <si>
    <t>Arandela com lâmpada incandescente de 100W</t>
  </si>
  <si>
    <t>'180125</t>
  </si>
  <si>
    <t>Luminaria embutir compl.,corpo ch. aço pintada branca,refletor aletas parabólicas alum.alta pureza e refletância,2 lâmp.fluor.tubulares de 16W/127V, reator duplo 127V, part.ráp.AFP, soq. antivib.,ref. CAA01-E216 Lumicenter ou equ</t>
  </si>
  <si>
    <t>'180126</t>
  </si>
  <si>
    <t>Luminaria embutir compl.,corpo ch. aço pintada branca,refletor, aletas parabólicas alum.alta pureza e refletância,2 lâmp. fluor.tubulares de 32W/127V, c/ reator duplo 127V, par.ráp.AFP, soq. antivib.,ref. CAA01-E232 Lumicenter ou</t>
  </si>
  <si>
    <t>'180129</t>
  </si>
  <si>
    <t>Luminária cilíndrica embutir,p/1 lâmp.fluor.compacta 26W,corpo ch.aço fosfotizada,pintada eletrostaticamente,refletor repuxado alum.anodizado,difusor vidro temperado,centro jateado,ref.EF06-E126 VJC Lumicenter ou equ.</t>
  </si>
  <si>
    <t>INTERRUPTORES E TOMADAS</t>
  </si>
  <si>
    <t>Tomada padrão brasileiro linha branca, NBR 14136 3 polos 10A/250V, com placa 4x2"</t>
  </si>
  <si>
    <t>Tomada padrão brasileiro linha branca, NBR 14136 3 polos 20A/250V, com placa 4x2"</t>
  </si>
  <si>
    <t>'180204</t>
  </si>
  <si>
    <t>Interruptor de uma tecla simples 10A/250V, com placa 4x2"</t>
  </si>
  <si>
    <t>'180205</t>
  </si>
  <si>
    <t>Interruptor de duas teclas simples 10A/250V, com placa 4x2"</t>
  </si>
  <si>
    <t>'180206</t>
  </si>
  <si>
    <t>Interruptor de uma tecla paralelo 10A/250V, com placa 4x2"</t>
  </si>
  <si>
    <t>'180210</t>
  </si>
  <si>
    <t>Tomada de 3 polos 20A/250V, com placa 4x2"</t>
  </si>
  <si>
    <t>'180217</t>
  </si>
  <si>
    <t>Espelho para caixa estampada 4 x 2"</t>
  </si>
  <si>
    <t>'180218</t>
  </si>
  <si>
    <t>Espelho para caixa estampada 4 x 4"</t>
  </si>
  <si>
    <t>'180220</t>
  </si>
  <si>
    <t>Tomada coaxial 75 ohms para TV</t>
  </si>
  <si>
    <t>'1808</t>
  </si>
  <si>
    <t>'180809</t>
  </si>
  <si>
    <t>Chuveiro elétrico tipo ducha Lorenzet ou Corona</t>
  </si>
  <si>
    <t>'19</t>
  </si>
  <si>
    <t>PINTURA</t>
  </si>
  <si>
    <t>'1901</t>
  </si>
  <si>
    <t>SOBRE PAREDES E FORROS</t>
  </si>
  <si>
    <t>'190101</t>
  </si>
  <si>
    <t>Emassamento de paredes e forros, com duas demãos de massa à base de PVA, marcas de referência Suvinil, Coral ou Metalatex</t>
  </si>
  <si>
    <t>'190104</t>
  </si>
  <si>
    <t>Pintura com tinta látex PVA, marcas de referência Suvinil, Coral ou Metalatex, inclusive selador em paredes e forros, a três demãos</t>
  </si>
  <si>
    <t>'20</t>
  </si>
  <si>
    <t>SERVIÇOS COMPLEMENTARES EXTERNOS</t>
  </si>
  <si>
    <t>'2002</t>
  </si>
  <si>
    <t>PAVIMENTAÇÃO</t>
  </si>
  <si>
    <t>Fornecimento e assentamento de ladrilho hidráulico pastilhado, vermelho, dim. 20x20 cm, esp. 1.5cm, assentado com pasta de cimento colante, exclusive regularização e lastro</t>
  </si>
  <si>
    <t>'2004</t>
  </si>
  <si>
    <t>TRATAMENTO, CONSERVAÇÃO E LIMPEZA</t>
  </si>
  <si>
    <t>'200401</t>
  </si>
  <si>
    <t>Limpeza geral da obra</t>
  </si>
  <si>
    <t>'2005</t>
  </si>
  <si>
    <t>DIVERSOS EXTERNOS</t>
  </si>
  <si>
    <t>'200573</t>
  </si>
  <si>
    <t>Bicicletário em tubo de ferro galvanizado 1" e ferro liso 1/2", inclusive pintura, conforme projeto padrão SEDU</t>
  </si>
  <si>
    <t>'200576</t>
  </si>
  <si>
    <t>Placa para inauguração de obra em alumínio polido e=4mm, dimensões 40 x 50 cm, gravação em baixo relevo, inclusive pintura e fixação</t>
  </si>
  <si>
    <t>'21</t>
  </si>
  <si>
    <t>SERVIÇOS COMPLEMENTARES INTERNOS</t>
  </si>
  <si>
    <t>'2102</t>
  </si>
  <si>
    <t>ARMÁRIOS E PRATELEIRAS</t>
  </si>
  <si>
    <t>'210210</t>
  </si>
  <si>
    <t>Prateleiras em granito cinza andorinha, esp. 2cm</t>
  </si>
  <si>
    <t>'31</t>
  </si>
  <si>
    <t>SERVIÇOS GERAIS</t>
  </si>
  <si>
    <t>'3120</t>
  </si>
  <si>
    <t>MÃO DE OBRA (MENSALISTAS - COM DESONERAÇÃO - LEIS SOCIAIS = 51,04%)</t>
  </si>
  <si>
    <t>'312019</t>
  </si>
  <si>
    <t>Mestre Obras Senior (Leis Sociais = 51,04%)</t>
  </si>
  <si>
    <t>TOTAL ITEM 01</t>
  </si>
  <si>
    <t>TOTAL ITEM 02</t>
  </si>
  <si>
    <t>TOTAL ITEM 03</t>
  </si>
  <si>
    <t>TOTAL ITEM 05</t>
  </si>
  <si>
    <t xml:space="preserve">Quant. </t>
  </si>
  <si>
    <t>Preço total</t>
  </si>
  <si>
    <t>TOTAL ITEM 09</t>
  </si>
  <si>
    <t>140701</t>
  </si>
  <si>
    <t>Luminaria sobrepor compl.,corpo ch. aço pintada branca,refletor aletas parabólicas alum.alta pureza e
refletância,2 lâmp.fluor.tubulares de 32W/127V, reator duplo 127V,part.ráp.AFP, soq. antivib.,ref. CAA01-
S232 Lumicenter ou equ.</t>
  </si>
  <si>
    <t>1703</t>
  </si>
  <si>
    <t>140702</t>
  </si>
  <si>
    <t>1508</t>
  </si>
  <si>
    <t>TOTAL ITEM 07</t>
  </si>
  <si>
    <t>TOTAL ITEM 06</t>
  </si>
  <si>
    <t>TOTAL ITEM 04</t>
  </si>
  <si>
    <t>TOTAL ITEM 08</t>
  </si>
  <si>
    <t>TOTAL ITEM 10</t>
  </si>
  <si>
    <t>TOTAL ITEM 11</t>
  </si>
  <si>
    <t>TOTAL ITEM 12</t>
  </si>
  <si>
    <t>TOTAL ITEM 13</t>
  </si>
  <si>
    <t>TOTAL ITEM 14</t>
  </si>
  <si>
    <t>TOTAL ITEM 16</t>
  </si>
  <si>
    <t>TOTAL ITEM 15</t>
  </si>
  <si>
    <t>TOTAL ITEM 17</t>
  </si>
  <si>
    <t>TOTAL ITEM 18</t>
  </si>
  <si>
    <t>TOTAL ITEM 19</t>
  </si>
  <si>
    <t>TOTAL ITEM 20</t>
  </si>
  <si>
    <t>TOTAL ITEM 31</t>
  </si>
  <si>
    <t>TOTAL DA PLANILHA</t>
  </si>
  <si>
    <t xml:space="preserve">Data base: </t>
  </si>
  <si>
    <t>Leis Sociais:</t>
  </si>
  <si>
    <t>BDI</t>
  </si>
  <si>
    <t>Planilha: </t>
  </si>
  <si>
    <t>'190106</t>
  </si>
  <si>
    <t>Pintura com tinta acrílica, marcas de referência Suvinil, Coral ou Metalatex, inclusive selador acrílico, em paredes e forros, a três demãos</t>
  </si>
  <si>
    <t>'170548</t>
  </si>
  <si>
    <t>Reservatório de polietileno de 1500l, inclusive peça 6x16cm para apoio, exclusive flanges e torneira de bóia</t>
  </si>
  <si>
    <t>Cuba louça branca oval, de embutir, Mod. L37, marca de ref. Deca incl. válvula e sifão, exclusive torneira</t>
  </si>
  <si>
    <t>Bacia sifonada de louça branca sem abertura frontal para portadores de necessidades especiais, Vogue
Plus Conforto - Linha Conforto, mod P510, incl. assento poliester, ref.AP51,marca de ref. Deca ou
equivalente, sem abertura frontal</t>
  </si>
  <si>
    <t>170126</t>
  </si>
  <si>
    <t>Torneira para tanque, marcas de referência Fabrimar, Deca ou Docol.</t>
  </si>
  <si>
    <t>Placa de sinalização de segurança CODIGO 14 - 315/158(NBR 13.434); CÓDIGO S3(NT 14/2010-ES)
("SAIDA DE EMERGÊNCIA" - seta vertical)</t>
  </si>
  <si>
    <t>'170555</t>
  </si>
  <si>
    <t>Tanque de mármore sintético com um bojo, inclusive válvula e sifão em PVC</t>
  </si>
  <si>
    <t>'210321</t>
  </si>
  <si>
    <t>Proteção para caixa de descarga em malha de ferro 3/4" fio 12, perfil "L" 1" e barra chata 3/4" x 1/8", conf. detalhe</t>
  </si>
  <si>
    <t>'170309</t>
  </si>
  <si>
    <t>Torneira para jardim de 3/4" marcas de referência Fabrimar, Deca ou Docol</t>
  </si>
  <si>
    <t>170514</t>
  </si>
  <si>
    <t>'200202</t>
  </si>
  <si>
    <t>Meio-fio de concreto pré-moldado com dimensões de 15x12x30x100 cm , rejuntados com argamassa de cimento e areia no traço 1:3</t>
  </si>
  <si>
    <t>Rodapé de mármore ou granito, assentado com argamassa de cimento, cal hidratada CH1 e areia no traço 1:0,5:8, incl. rejuntamento com cimento branco, h=7cm</t>
  </si>
  <si>
    <t>'130307</t>
  </si>
  <si>
    <t>Peitoril de mármore branco com largura 40 cm e esp. 3cm</t>
  </si>
  <si>
    <t>'1903</t>
  </si>
  <si>
    <t>SOBRE MADEIRA</t>
  </si>
  <si>
    <t>'190306</t>
  </si>
  <si>
    <t>Pintura com verniz filtro solar fosco, linha Premium, em madeira, a três demãos, marcas de referência Suvinil, Coral ou Metalatex</t>
  </si>
  <si>
    <t>'1904</t>
  </si>
  <si>
    <t>SOBRE METAL</t>
  </si>
  <si>
    <t>Pintura com tinta esmalte sintético, marcas de referência Suvinil, Coral ou Metalatex, a duas demãos, inclusive fundo anticorrosivo a uma demão, em metal</t>
  </si>
  <si>
    <t>TOTAL ITEM 21</t>
  </si>
  <si>
    <t>'170130</t>
  </si>
  <si>
    <t>Lavatório de louça branca com coluna, Ravena L91 + C9 inclusive sifão, válvula e engates cromados, exclusive torneira</t>
  </si>
  <si>
    <t>Pastilha cerâmica 5 x 5 cm, cor Creare Marinho, marcas de referência Portinari, Atlas, Jatobá, NGK ou equivalente, assentada com argamassa de cimento colante, incl. Rejuntamento com rejunte P-Flex azul cobalto e=3mm</t>
  </si>
  <si>
    <t>'020350</t>
  </si>
  <si>
    <t>Tapume Telha Metálica Ondulada 0,50mm Branca h=2,20m, incl. montagem estr. mad. 8"x8", c/adesivo "IOPES" 60x60cm a cada 10m, incl. faixas pint. esmalte sint. cores azul c/ h=30cm e rosa c/ h=10cm (Reaproveitamento 2x)</t>
  </si>
  <si>
    <t>Vigia (Leis Sociais =52,25%)(Leis Sociais = 51,04%)</t>
  </si>
  <si>
    <t>2007</t>
  </si>
  <si>
    <t>QUADRA DE ESPORTES</t>
  </si>
  <si>
    <t>200702</t>
  </si>
  <si>
    <t>Piso quadra poliesp. fck=25MPa, esp.=10 cm, armado c/ tela Q138, concret camada única bombeável c/
brita n. 1, acab. sup. c/ rotoalisador, juntas c/ corte serra diamant. preench. c/ mastique, base 5cm solo brita
30% e resina endur</t>
  </si>
  <si>
    <t>Barra de apoio em aço inox, marca de referência Deca ou Similar. 80cm</t>
  </si>
  <si>
    <t>Caixa de descarga para embutir em parede de alvenaria convencional, anti-vandalismo, p/ bacia sanitária, incl. Espelho de acionamento em aço inox polido, ref. M9000, linha Standard, Montana ou equivalente</t>
  </si>
  <si>
    <t>NOTAS PARA USO DESTA PLANILHA</t>
  </si>
  <si>
    <t>SESP 02</t>
  </si>
  <si>
    <t>Porta em madeira de lei tipo angelim pedra ou equiv.c/enchimento em madeira 1a.qualidade esp. 30mm p/ verniz,  com revestimento na parte inferior e puxador horizontal em aço inox, inclusive alizares, dobradiças e fechadura externa em latão cromado LaFonte ou equiv., exclusive marco, nas dim.: 0.80 x 2.10 m</t>
  </si>
  <si>
    <t>SESP 01</t>
  </si>
  <si>
    <t>Duas portas de abrir tipio Blindex em vidro temperado, Esp.: 10mm, com puxador de alça dupla em aço Inox polido com perfil retangular 50x10mm, 60cm de altura, com fechadura em aço SAE1010, com cilindro e chaves em latão, acabamento cromado, e molas hidráulica de piso, Marca “Dorma” ou similar, com abertura de 180º e acabamento em aço inox - P7 - 180X230 M.</t>
  </si>
  <si>
    <t>SESP 03</t>
  </si>
  <si>
    <t>SESP 04</t>
  </si>
  <si>
    <t>Canaleta em PVC, Ref.: sistema X da Pial ou equivalente, nas dim.: 50x20mm, com 2 divisões internas e tampa, inclusive conexões</t>
  </si>
  <si>
    <t>SESP 05</t>
  </si>
  <si>
    <t xml:space="preserve"> Tomada de sobrepor 2P+T 10A 250V, Referência Sistema X PIAL ou equivalente</t>
  </si>
  <si>
    <t>SESP 06</t>
  </si>
  <si>
    <t>Interruptor de sobrepor de 1  tecla simples 10A 250V, Referência. Sistema X Pial ou equivalente</t>
  </si>
  <si>
    <t>SESP 07</t>
  </si>
  <si>
    <t>Interruptor de sobrepor de 2 teclas simples 10A 250V, Referência. Sistema X Pial ou equivalente</t>
  </si>
  <si>
    <t>SESP 08</t>
  </si>
  <si>
    <t>Tomada com 1xRJ45 CAT.5  Referência Sistema X PIAL ou Equivalente</t>
  </si>
  <si>
    <t>SESP 09</t>
  </si>
  <si>
    <t>Tomada dupla RJ45 CAT 5  Referência Sistema X PIAL ou Equivalente</t>
  </si>
  <si>
    <t>SESP 10</t>
  </si>
  <si>
    <t>SESP 11</t>
  </si>
  <si>
    <t>SESP 12</t>
  </si>
  <si>
    <t>SESP 13</t>
  </si>
  <si>
    <t>Alizar em granito Cinza, com 3cm de largura e 2cm de espessura, assentado com argamassa de cimento, cal hidratada CH1 e area no traço 1;0;5;8, inclusive rejuntamento com cimento branco.</t>
  </si>
  <si>
    <t>Chapim em em granito cinza Andorinha, nas dimensões de 18x3cm, conforme projeto</t>
  </si>
  <si>
    <t>TABELA CUSTOS LABOR/CT-UFES PADRÃO IOPES NOVEMBRO/2017 (LS=128,33%; BDI=30,90%)</t>
  </si>
  <si>
    <t>2103</t>
  </si>
  <si>
    <t>DIVERSOS INTERNOS</t>
  </si>
  <si>
    <t>ETAPA</t>
  </si>
  <si>
    <t>DESCRIÇÃO DAS ETAPAS</t>
  </si>
  <si>
    <t>Período:</t>
  </si>
  <si>
    <t>30 dias</t>
  </si>
  <si>
    <t>60 dias</t>
  </si>
  <si>
    <t>01</t>
  </si>
  <si>
    <t>02</t>
  </si>
  <si>
    <t>03</t>
  </si>
  <si>
    <t>05</t>
  </si>
  <si>
    <t>06</t>
  </si>
  <si>
    <t>07</t>
  </si>
  <si>
    <t>08</t>
  </si>
  <si>
    <t>09</t>
  </si>
  <si>
    <t>11</t>
  </si>
  <si>
    <t>12</t>
  </si>
  <si>
    <t>13</t>
  </si>
  <si>
    <t>14</t>
  </si>
  <si>
    <t>15</t>
  </si>
  <si>
    <t>17</t>
  </si>
  <si>
    <t>18</t>
  </si>
  <si>
    <t>19</t>
  </si>
  <si>
    <t>20</t>
  </si>
  <si>
    <t>21</t>
  </si>
  <si>
    <t>31</t>
  </si>
  <si>
    <t>Total Simples</t>
  </si>
  <si>
    <t xml:space="preserve">Total Acumulado </t>
  </si>
  <si>
    <t>Serviços: Reforma DPM Vila Rubim - Vitória/ES</t>
  </si>
  <si>
    <t>04</t>
  </si>
  <si>
    <t>10</t>
  </si>
  <si>
    <t>16</t>
  </si>
  <si>
    <t>90 dias</t>
  </si>
  <si>
    <t>120 dias</t>
  </si>
  <si>
    <t>150 dias</t>
  </si>
  <si>
    <t xml:space="preserve">CRONOGRAMA FÍSICO - FINANCEIRO </t>
  </si>
  <si>
    <t>Local: Vila Rubim - Vitória - ES</t>
  </si>
  <si>
    <t>Marco em granito Cinza, com15cm de largura e 2cm de espessura e , assentado com argamassa de cimento, cal hidratada CH1 e areia no traço 1;0;5;8, inclusive rejuntamento com cimento branco</t>
  </si>
  <si>
    <t>'020344</t>
  </si>
  <si>
    <t>Mobilização e desmobilização de conteiner locado para barracão de obra</t>
  </si>
  <si>
    <t>'020352</t>
  </si>
  <si>
    <t>Aluguel mensal container para escritório, dim. 6.00x2.40m, c/ banheiro (vaso+lavat+chuveiro e básc), incl. porta, 2 janelas, abert p/ ar cond., 2 pt iluminação, 2 tom. elét. e 1 tom.telef. Isolam.térmico(teto e paredes), piso em comp. Naval, cert. NR18, incl. laudo descontaminação.</t>
  </si>
  <si>
    <t>'020353</t>
  </si>
  <si>
    <t>Aluguel mensal container para refeitorio, incl. porta, 2 janelas, abert p/ ar cond., 2 pt iluminação, 2 tomadas elét. e 1 tomada telef. Isolamento térmico (paredes e teto), piso em comp. Naval pintado, cert. NR18, incl. laudo descontaminação.</t>
  </si>
  <si>
    <t>'020355</t>
  </si>
  <si>
    <t>Aluguel mensal container sanitário, incl porta, básc, 2 ptos luz, 1 pto aterram., 3vasos, 3lavatórios, calha mictório, 6 chuveiros (1 eletrico), torn.,registros, piso comp. Naval pintado, cert NR18 e laudo descontaminação</t>
  </si>
  <si>
    <t>Brasão da Polícia Militar em chapa de aaço inox, com gravura em baixo relevo, colorido com 50cm de altura e 80cm de largura conforme detalhamento em projeto</t>
  </si>
  <si>
    <t>SESP 14</t>
  </si>
  <si>
    <t>SESP 15</t>
  </si>
  <si>
    <t>SESP 16</t>
  </si>
  <si>
    <t>Letreiro em aço inox escovado tipo caixa alta, com altura de 15cm, conforme detalhamento em projeto, com os seguintes dizeres "DPM VILA RUBIM" (12 letras)</t>
  </si>
  <si>
    <t>Letreiro em aço inox escovado tipo caixa alta, com altura de 20cm, conforme detalhamento em projeto,  com os seguintes dizeres "POLÍCIA MILITAR" (14 letras)</t>
  </si>
  <si>
    <t>'1515</t>
  </si>
  <si>
    <t>SERVIÇOS DIVERSOS</t>
  </si>
  <si>
    <t>Haste de terra tipo COPPERWELD - 5/8" x 2.40m</t>
  </si>
  <si>
    <t>150610</t>
  </si>
  <si>
    <t>Caixa de aterramento de concreto simples, nas dimensões de 30x30x25cm, com revest. int. em chapisco e reboco, tampa de concreto esp.5cm e lastro de brita esp. 5 cm, incl. haste 5/8"x2400mm</t>
  </si>
  <si>
    <t>151414</t>
  </si>
  <si>
    <t>Cabo de cobre nú, seção de 10.0 mm2</t>
  </si>
  <si>
    <t>020346</t>
  </si>
  <si>
    <t>Interruptor de três teclas simples 10 A/250 V e duas teclas simples 10A/250V, com placa 4x4"</t>
  </si>
  <si>
    <t>____________________________________________________________</t>
  </si>
  <si>
    <t>180 dias</t>
  </si>
  <si>
    <t>010201</t>
  </si>
  <si>
    <t>312020</t>
  </si>
  <si>
    <t>200253</t>
  </si>
  <si>
    <t>190417</t>
  </si>
  <si>
    <t>180211</t>
  </si>
  <si>
    <t>151602</t>
  </si>
  <si>
    <t>151506</t>
  </si>
  <si>
    <t>151403</t>
  </si>
  <si>
    <t>151130</t>
  </si>
  <si>
    <t>151129</t>
  </si>
  <si>
    <t>151128</t>
  </si>
  <si>
    <t>150906</t>
  </si>
  <si>
    <t>150803</t>
  </si>
  <si>
    <t>142201</t>
  </si>
  <si>
    <t>141909</t>
  </si>
  <si>
    <t>141907</t>
  </si>
  <si>
    <t>141906</t>
  </si>
  <si>
    <t>141413</t>
  </si>
  <si>
    <t>130317</t>
  </si>
  <si>
    <t>130315</t>
  </si>
  <si>
    <t>130208</t>
  </si>
  <si>
    <t>130112</t>
  </si>
  <si>
    <t>120236</t>
  </si>
  <si>
    <t>120227</t>
  </si>
  <si>
    <t>110302</t>
  </si>
  <si>
    <t>090216</t>
  </si>
  <si>
    <t>020348</t>
  </si>
  <si>
    <t>010239</t>
  </si>
  <si>
    <t>010206</t>
  </si>
  <si>
    <t>01 - A pesquisa de preços dos insumos usados nas composições de custos unitários, foi realizada pelo LABOR, no mercado (de varejo) da cidade de Vitória-ES, tomando-se como base, os valores médios para pagamento à vista;</t>
  </si>
  <si>
    <t>2 - Os custos constantes desta planilha são elaborados com o objetivo de se paramentar os custos referenciais máximos admissíveis em licitação, não sendo recomendada sua utilização para contratação direta ou cujos valores não tenham sido submetidos ao processo de licitação;</t>
  </si>
  <si>
    <t>03 - Os valores correspondentes a aquisição dos materiais, carga, transporte e descarga, quando não explicitados, estão incluídos nos preços unitários;</t>
  </si>
  <si>
    <t>04 - Para a substituição de material especificado, a comprovação da equivalência será feita através da entrega do material alternativo para análise e posicionamento da fiscalização e somente poderá ser aplicado após autorização formal do fiscal, devendo uma cópia da autorização ser anexada ao processo da obra;</t>
  </si>
  <si>
    <t>05 - Os salários considerados são os constantes dos acordos coletivos das respectivas categorias;</t>
  </si>
  <si>
    <t>06 -A taxa de Bonificação de Despesas Indiretas (BDI) está fixada em 30,90%;</t>
  </si>
  <si>
    <t>07 - A incidência de encargos sociais adotada para mão de obra é de 128,33%;</t>
  </si>
  <si>
    <t>08 - Os procedimentos para levantamento de quantitativo de serviços LABOR/IOPES, estão disponíveis no site www.iopes.es.gov.br no link "Faça certo";</t>
  </si>
  <si>
    <t>09 - Os seguintes itens não são considerados na formação dos serviços desta planilha:
- Transporte de materiais em condições especiais, para locais de difícil acesso;
- Transporte de mão de obra especializada para regiões que não a possuam;
- A montagem de andaimes especiais e sua retirada;
- A instalação de sanitários, alojamentos, cantinas, oficinas e almoxarifados;
- A paralização ou subemprego de equipamentos;
- A necessidade de vigilância reforçada;
- Horários que, por lei, obriguem a suplementação salarial;
- A elaboração de detalhamento ou de estudos especiais;</t>
  </si>
  <si>
    <t>10 - Responsável pelos preços de insumos do orçamento, serviços da tabela referencial de preços e composições de custos unitários: Instituto de Obras Públicas do Estado do Espírito Santo – IOPES;</t>
  </si>
  <si>
    <t>11 - Os itens não contemplados na planilha padrão IOPES foram feitos composição de custo, orçados no mercado de varejo da grande vitória, com coeficientes de rendimento baseados em itens da base local LABOR IOPES/ SEDU;</t>
  </si>
  <si>
    <t>12 - Responsáveis pelos quantitativos: Mônica Gonçalves de Freitas rocha - CAU 99659-9, Ingrid Ferreira da Silva Gomes - CREA-ES 016344/TD.</t>
  </si>
  <si>
    <t>MÔNICA GONÇALVES DE FREITAS ROCHA - CAU 99659-9</t>
  </si>
  <si>
    <r>
      <t xml:space="preserve">GOVERNO DO ESTADO DO ESPÍRITO SANTO
SECRETARIA DE ESTADO DA SEGURANÇA PÚBLICA E DEFESA SOCIAL 
</t>
    </r>
    <r>
      <rPr>
        <b/>
        <sz val="10"/>
        <rFont val="Times New Roman"/>
        <family val="1"/>
      </rPr>
      <t>GEARE - GERÊNCIA DE ARQUITETURA E ENGENHARIA</t>
    </r>
  </si>
  <si>
    <t>SESP 17</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</si>
</sst>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 numFmtId="168" formatCode="&quot;R$&quot;\ #,##0.00"/>
    <numFmt numFmtId="169" formatCode="00"/>
    <numFmt numFmtId="170" formatCode="[$-416]mmm\-yy;@"/>
    <numFmt numFmtId="171" formatCode="&quot;Ativado&quot;;&quot;Ativado&quot;;&quot;Desativado&quot;"/>
    <numFmt numFmtId="172" formatCode="_(* #,##0.00_);_(* \(#,##0.00\);_(* &quot;-&quot;??_);_(@_)"/>
    <numFmt numFmtId="173" formatCode="#,##0.00;[Red]#,##0.00"/>
  </numFmts>
  <fonts count="54">
    <font>
      <sz val="11"/>
      <color theme="1"/>
      <name val="Calibri"/>
      <family val="2"/>
    </font>
    <font>
      <sz val="11"/>
      <color indexed="8"/>
      <name val="Calibri"/>
      <family val="2"/>
    </font>
    <font>
      <sz val="11"/>
      <name val="Times New Roman"/>
      <family val="1"/>
    </font>
    <font>
      <b/>
      <sz val="11"/>
      <name val="Times New Roman"/>
      <family val="1"/>
    </font>
    <font>
      <sz val="10"/>
      <name val="Arial"/>
      <family val="2"/>
    </font>
    <font>
      <b/>
      <sz val="12"/>
      <name val="Times New Roman"/>
      <family val="1"/>
    </font>
    <font>
      <b/>
      <sz val="10"/>
      <name val="Times New Roman"/>
      <family val="1"/>
    </font>
    <font>
      <b/>
      <sz val="14"/>
      <name val="Times New Roman"/>
      <family val="1"/>
    </font>
    <font>
      <sz val="10"/>
      <color indexed="8"/>
      <name val="Arial"/>
      <family val="2"/>
    </font>
    <font>
      <sz val="12"/>
      <name val="Times New Roman"/>
      <family val="1"/>
    </font>
    <font>
      <b/>
      <sz val="12"/>
      <color indexed="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Times New Roman"/>
      <family val="1"/>
    </font>
    <font>
      <b/>
      <sz val="11"/>
      <color indexed="8"/>
      <name val="Times New Roman"/>
      <family val="1"/>
    </font>
    <font>
      <b/>
      <sz val="12"/>
      <color indexed="8"/>
      <name val="Times New Roman"/>
      <family val="1"/>
    </font>
    <font>
      <sz val="16"/>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Times New Roman"/>
      <family val="1"/>
    </font>
    <font>
      <b/>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right style="thin"/>
      <top style="thin"/>
      <bottom>
        <color indexed="63"/>
      </bottom>
    </border>
    <border>
      <left/>
      <right/>
      <top/>
      <bottom style="thin"/>
    </border>
    <border>
      <left style="thin">
        <color indexed="8"/>
      </left>
      <right/>
      <top style="thin"/>
      <bottom style="thin">
        <color indexed="8"/>
      </bottom>
    </border>
    <border>
      <left/>
      <right style="thin">
        <color indexed="8"/>
      </right>
      <top style="thin">
        <color indexed="8"/>
      </top>
      <bottom style="thin">
        <color indexed="8"/>
      </bottom>
    </border>
    <border>
      <left style="thin">
        <color indexed="8"/>
      </left>
      <right/>
      <top/>
      <bottom style="thin"/>
    </border>
    <border>
      <left/>
      <right style="thin">
        <color indexed="8"/>
      </right>
      <top style="thin">
        <color indexed="8"/>
      </top>
      <bottom style="thin"/>
    </border>
    <border>
      <left/>
      <right/>
      <top style="double"/>
      <bottom style="double"/>
    </border>
    <border>
      <left>
        <color indexed="63"/>
      </left>
      <right>
        <color indexed="63"/>
      </right>
      <top/>
      <bottom style="double"/>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style="thin"/>
      <top style="thin"/>
      <bottom/>
    </border>
    <border>
      <left style="thin">
        <color indexed="8"/>
      </left>
      <right style="thin"/>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0" fontId="43" fillId="21"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cellStyleXfs>
  <cellXfs count="159">
    <xf numFmtId="0" fontId="0" fillId="0" borderId="0" xfId="0" applyFont="1" applyAlignment="1">
      <alignment/>
    </xf>
    <xf numFmtId="0" fontId="51" fillId="0" borderId="0" xfId="0" applyFont="1" applyAlignment="1">
      <alignment vertical="center"/>
    </xf>
    <xf numFmtId="0" fontId="51" fillId="0" borderId="0" xfId="0" applyFont="1" applyAlignment="1">
      <alignment/>
    </xf>
    <xf numFmtId="0" fontId="51" fillId="14" borderId="10" xfId="0" applyFont="1" applyFill="1" applyBorder="1" applyAlignment="1">
      <alignment horizontal="center" vertical="center" wrapText="1"/>
    </xf>
    <xf numFmtId="4" fontId="51" fillId="14" borderId="10" xfId="0" applyNumberFormat="1" applyFont="1" applyFill="1" applyBorder="1" applyAlignment="1">
      <alignment horizontal="center" vertical="center" wrapText="1"/>
    </xf>
    <xf numFmtId="0" fontId="51" fillId="0" borderId="10" xfId="0" applyFont="1" applyBorder="1" applyAlignment="1">
      <alignment vertical="center"/>
    </xf>
    <xf numFmtId="0" fontId="51" fillId="2" borderId="10" xfId="0" applyFont="1" applyFill="1" applyBorder="1" applyAlignment="1">
      <alignment horizontal="center" vertical="center" wrapText="1"/>
    </xf>
    <xf numFmtId="4" fontId="51" fillId="2"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4" fontId="51" fillId="0" borderId="10" xfId="0" applyNumberFormat="1" applyFont="1" applyBorder="1" applyAlignment="1">
      <alignment horizontal="center" vertical="center" wrapText="1"/>
    </xf>
    <xf numFmtId="0" fontId="51" fillId="0" borderId="11" xfId="0" applyFont="1" applyBorder="1" applyAlignment="1">
      <alignment horizontal="left" vertical="center" wrapText="1"/>
    </xf>
    <xf numFmtId="0" fontId="51" fillId="0" borderId="11" xfId="0" applyFont="1" applyBorder="1" applyAlignment="1">
      <alignment horizontal="center" vertical="center" wrapText="1"/>
    </xf>
    <xf numFmtId="4" fontId="52" fillId="0" borderId="10" xfId="0" applyNumberFormat="1" applyFont="1" applyBorder="1" applyAlignment="1">
      <alignment horizontal="center" vertical="center" wrapText="1"/>
    </xf>
    <xf numFmtId="0" fontId="51" fillId="0" borderId="10" xfId="0" applyFont="1" applyFill="1" applyBorder="1" applyAlignment="1">
      <alignment horizontal="center" vertical="center" wrapText="1"/>
    </xf>
    <xf numFmtId="4" fontId="51" fillId="0"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0" fontId="51" fillId="0" borderId="0" xfId="0" applyFont="1" applyAlignment="1">
      <alignment horizontal="center" vertical="center"/>
    </xf>
    <xf numFmtId="4" fontId="51" fillId="0" borderId="0" xfId="0" applyNumberFormat="1" applyFont="1" applyAlignment="1">
      <alignment horizontal="center" vertical="center"/>
    </xf>
    <xf numFmtId="4" fontId="51" fillId="0" borderId="12" xfId="0" applyNumberFormat="1" applyFont="1" applyBorder="1" applyAlignment="1">
      <alignment horizontal="center" vertical="center" wrapText="1"/>
    </xf>
    <xf numFmtId="0" fontId="52" fillId="14" borderId="11" xfId="0" applyFont="1" applyFill="1" applyBorder="1" applyAlignment="1">
      <alignment horizontal="center" vertical="center" wrapText="1"/>
    </xf>
    <xf numFmtId="0" fontId="51" fillId="14" borderId="11"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52" fillId="14" borderId="11" xfId="0" applyFont="1" applyFill="1" applyBorder="1" applyAlignment="1">
      <alignment horizontal="left" vertical="center" wrapText="1"/>
    </xf>
    <xf numFmtId="0" fontId="52" fillId="2"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2" fillId="2" borderId="11" xfId="0" applyFont="1" applyFill="1" applyBorder="1" applyAlignment="1">
      <alignment horizontal="center" vertical="center" wrapText="1"/>
    </xf>
    <xf numFmtId="0" fontId="51" fillId="0" borderId="11" xfId="0" applyFont="1" applyBorder="1" applyAlignment="1" quotePrefix="1">
      <alignment horizontal="center" vertical="center" wrapText="1"/>
    </xf>
    <xf numFmtId="0" fontId="52" fillId="2" borderId="11" xfId="0" applyFont="1" applyFill="1" applyBorder="1" applyAlignment="1" quotePrefix="1">
      <alignment horizontal="center" vertical="center" wrapText="1"/>
    </xf>
    <xf numFmtId="0" fontId="3" fillId="2"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4" fontId="5" fillId="0" borderId="10" xfId="54" applyNumberFormat="1" applyFont="1" applyFill="1" applyBorder="1" applyAlignment="1">
      <alignment horizontal="center" vertical="center" wrapText="1"/>
      <protection/>
    </xf>
    <xf numFmtId="170" fontId="5" fillId="0" borderId="10" xfId="54" applyNumberFormat="1" applyFont="1" applyFill="1" applyBorder="1" applyAlignment="1">
      <alignment horizontal="center" vertical="center" wrapText="1"/>
      <protection/>
    </xf>
    <xf numFmtId="10" fontId="5" fillId="0" borderId="10" xfId="54" applyNumberFormat="1" applyFont="1" applyFill="1" applyBorder="1" applyAlignment="1">
      <alignment horizontal="center" vertical="center" wrapText="1"/>
      <protection/>
    </xf>
    <xf numFmtId="0" fontId="5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51" fillId="14" borderId="12" xfId="0" applyNumberFormat="1" applyFont="1" applyFill="1" applyBorder="1" applyAlignment="1">
      <alignment horizontal="center" vertical="center" wrapText="1"/>
    </xf>
    <xf numFmtId="4" fontId="51" fillId="2" borderId="12" xfId="0" applyNumberFormat="1" applyFont="1" applyFill="1" applyBorder="1" applyAlignment="1">
      <alignment horizontal="center" vertical="center" wrapText="1"/>
    </xf>
    <xf numFmtId="4" fontId="2" fillId="0" borderId="12" xfId="0" applyNumberFormat="1" applyFont="1" applyBorder="1" applyAlignment="1">
      <alignment horizontal="center" vertical="center" wrapText="1"/>
    </xf>
    <xf numFmtId="4" fontId="51" fillId="0" borderId="12"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52" fillId="0" borderId="13" xfId="0" applyNumberFormat="1" applyFont="1" applyBorder="1" applyAlignment="1">
      <alignment horizontal="center" vertical="center" wrapText="1"/>
    </xf>
    <xf numFmtId="0" fontId="51" fillId="0" borderId="14" xfId="0" applyFont="1" applyBorder="1" applyAlignment="1">
      <alignment horizontal="center" vertical="center" wrapText="1"/>
    </xf>
    <xf numFmtId="0" fontId="51" fillId="0" borderId="14" xfId="0" applyFont="1" applyBorder="1" applyAlignment="1">
      <alignment horizontal="left" vertical="center" wrapText="1"/>
    </xf>
    <xf numFmtId="4" fontId="51" fillId="0" borderId="15" xfId="0" applyNumberFormat="1" applyFont="1" applyBorder="1" applyAlignment="1">
      <alignment horizontal="center" vertical="center" wrapText="1"/>
    </xf>
    <xf numFmtId="0" fontId="51" fillId="0" borderId="16" xfId="0" applyFont="1" applyBorder="1" applyAlignment="1">
      <alignment horizontal="center" vertical="center" wrapText="1"/>
    </xf>
    <xf numFmtId="4" fontId="51" fillId="0" borderId="16" xfId="0" applyNumberFormat="1" applyFont="1" applyBorder="1" applyAlignment="1">
      <alignment horizontal="center" vertical="center" wrapText="1"/>
    </xf>
    <xf numFmtId="4" fontId="7"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3" fillId="2" borderId="11" xfId="0" applyFont="1" applyFill="1" applyBorder="1" applyAlignment="1" quotePrefix="1">
      <alignment horizontal="center" vertical="center" wrapText="1"/>
    </xf>
    <xf numFmtId="0" fontId="51" fillId="0" borderId="0" xfId="0" applyFont="1" applyFill="1" applyAlignment="1">
      <alignment/>
    </xf>
    <xf numFmtId="169" fontId="5" fillId="0" borderId="0" xfId="54" applyNumberFormat="1" applyFont="1" applyFill="1" applyBorder="1" applyAlignment="1">
      <alignment vertical="center" wrapText="1"/>
      <protection/>
    </xf>
    <xf numFmtId="49" fontId="9" fillId="0" borderId="0" xfId="52" applyNumberFormat="1" applyFont="1" applyFill="1" applyBorder="1" applyAlignment="1">
      <alignment horizontal="center" vertical="center" wrapText="1"/>
      <protection/>
    </xf>
    <xf numFmtId="0" fontId="9" fillId="0" borderId="0" xfId="52" applyFont="1" applyFill="1" applyBorder="1" applyAlignment="1">
      <alignment horizontal="center" vertical="center" wrapText="1"/>
      <protection/>
    </xf>
    <xf numFmtId="0" fontId="9" fillId="0" borderId="0" xfId="52" applyFont="1" applyFill="1" applyBorder="1" applyAlignment="1">
      <alignment vertical="center" wrapText="1"/>
      <protection/>
    </xf>
    <xf numFmtId="49" fontId="9" fillId="0" borderId="17" xfId="52" applyNumberFormat="1" applyFont="1" applyFill="1" applyBorder="1" applyAlignment="1">
      <alignment horizontal="center" vertical="center" wrapText="1"/>
      <protection/>
    </xf>
    <xf numFmtId="0" fontId="9" fillId="0" borderId="0" xfId="52" applyFont="1" applyFill="1" applyBorder="1" applyAlignment="1">
      <alignment horizontal="left" vertical="center" wrapText="1" indent="2"/>
      <protection/>
    </xf>
    <xf numFmtId="172" fontId="9" fillId="0" borderId="0" xfId="52" applyNumberFormat="1" applyFont="1" applyFill="1" applyBorder="1" applyAlignment="1">
      <alignment vertical="center" wrapText="1"/>
      <protection/>
    </xf>
    <xf numFmtId="173" fontId="3" fillId="0" borderId="18" xfId="53" applyNumberFormat="1" applyFont="1" applyBorder="1" applyAlignment="1">
      <alignment horizontal="left" vertical="center"/>
      <protection/>
    </xf>
    <xf numFmtId="173" fontId="3" fillId="0" borderId="19" xfId="53" applyNumberFormat="1" applyFont="1" applyBorder="1" applyAlignment="1">
      <alignment horizontal="left" vertical="center"/>
      <protection/>
    </xf>
    <xf numFmtId="173" fontId="3" fillId="0" borderId="20" xfId="53" applyNumberFormat="1" applyFont="1" applyBorder="1" applyAlignment="1">
      <alignment horizontal="left" vertical="center"/>
      <protection/>
    </xf>
    <xf numFmtId="173" fontId="3" fillId="0" borderId="21" xfId="53" applyNumberFormat="1" applyFont="1" applyBorder="1" applyAlignment="1">
      <alignment horizontal="left" vertical="center"/>
      <protection/>
    </xf>
    <xf numFmtId="0" fontId="51" fillId="0" borderId="0" xfId="0" applyFont="1" applyAlignment="1">
      <alignment vertical="center" wrapText="1"/>
    </xf>
    <xf numFmtId="49" fontId="51" fillId="0" borderId="0" xfId="0" applyNumberFormat="1" applyFont="1" applyAlignment="1">
      <alignment vertical="center" wrapText="1"/>
    </xf>
    <xf numFmtId="4" fontId="5" fillId="0" borderId="0" xfId="54" applyNumberFormat="1" applyFont="1" applyFill="1" applyBorder="1" applyAlignment="1">
      <alignment vertical="center" wrapText="1"/>
      <protection/>
    </xf>
    <xf numFmtId="0" fontId="53" fillId="0" borderId="22" xfId="0" applyFont="1" applyBorder="1" applyAlignment="1">
      <alignment horizontal="center" vertical="center" wrapText="1"/>
    </xf>
    <xf numFmtId="172" fontId="9" fillId="0" borderId="0" xfId="72" applyFont="1" applyFill="1" applyBorder="1" applyAlignment="1">
      <alignment vertical="center" wrapText="1"/>
    </xf>
    <xf numFmtId="4" fontId="51" fillId="0" borderId="0" xfId="0" applyNumberFormat="1" applyFont="1" applyAlignment="1">
      <alignment/>
    </xf>
    <xf numFmtId="43" fontId="51" fillId="0" borderId="0" xfId="0" applyNumberFormat="1" applyFont="1" applyAlignment="1">
      <alignment/>
    </xf>
    <xf numFmtId="0" fontId="2" fillId="0" borderId="0" xfId="0" applyFont="1" applyAlignment="1">
      <alignment vertical="center" wrapText="1"/>
    </xf>
    <xf numFmtId="169" fontId="5" fillId="0" borderId="0" xfId="54" applyNumberFormat="1" applyFont="1" applyFill="1" applyBorder="1" applyAlignment="1">
      <alignment horizontal="center" vertical="center" wrapText="1"/>
      <protection/>
    </xf>
    <xf numFmtId="169" fontId="5" fillId="0" borderId="23" xfId="54" applyNumberFormat="1" applyFont="1" applyFill="1" applyBorder="1" applyAlignment="1">
      <alignment vertical="center" wrapText="1"/>
      <protection/>
    </xf>
    <xf numFmtId="0" fontId="51" fillId="0" borderId="10"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1" fillId="0" borderId="0" xfId="0" applyFont="1" applyAlignment="1">
      <alignment vertical="center"/>
    </xf>
    <xf numFmtId="0" fontId="51" fillId="0" borderId="0" xfId="0" applyFont="1" applyAlignment="1">
      <alignment/>
    </xf>
    <xf numFmtId="0" fontId="51" fillId="0" borderId="10" xfId="0" applyFont="1" applyBorder="1" applyAlignment="1">
      <alignment horizontal="center" vertical="center" wrapText="1"/>
    </xf>
    <xf numFmtId="4" fontId="51" fillId="0" borderId="10" xfId="0" applyNumberFormat="1" applyFont="1" applyBorder="1" applyAlignment="1">
      <alignment horizontal="center" vertical="center" wrapText="1"/>
    </xf>
    <xf numFmtId="0" fontId="51" fillId="0" borderId="11"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10" xfId="0" applyFont="1" applyFill="1" applyBorder="1" applyAlignment="1">
      <alignment horizontal="center" vertical="center" wrapText="1"/>
    </xf>
    <xf numFmtId="4" fontId="51" fillId="0" borderId="10" xfId="0" applyNumberFormat="1" applyFont="1" applyFill="1" applyBorder="1" applyAlignment="1">
      <alignment horizontal="center" vertical="center" wrapText="1"/>
    </xf>
    <xf numFmtId="0" fontId="51" fillId="0" borderId="0" xfId="0" applyFont="1" applyAlignment="1">
      <alignment horizontal="center" vertical="center"/>
    </xf>
    <xf numFmtId="4" fontId="51" fillId="0" borderId="12" xfId="0" applyNumberFormat="1" applyFont="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2" fillId="14" borderId="24" xfId="0" applyFont="1" applyFill="1" applyBorder="1" applyAlignment="1">
      <alignment horizontal="center" vertical="center" wrapText="1"/>
    </xf>
    <xf numFmtId="0" fontId="52" fillId="14" borderId="24" xfId="0" applyFont="1" applyFill="1" applyBorder="1" applyAlignment="1">
      <alignment horizontal="left" vertical="center" wrapText="1"/>
    </xf>
    <xf numFmtId="0" fontId="52" fillId="14" borderId="13" xfId="0" applyFont="1" applyFill="1" applyBorder="1" applyAlignment="1">
      <alignment horizontal="center" vertical="center" wrapText="1"/>
    </xf>
    <xf numFmtId="4" fontId="52" fillId="14" borderId="13" xfId="0" applyNumberFormat="1" applyFont="1" applyFill="1" applyBorder="1" applyAlignment="1">
      <alignment horizontal="center" vertical="center" wrapText="1"/>
    </xf>
    <xf numFmtId="4" fontId="52" fillId="14" borderId="25" xfId="0" applyNumberFormat="1" applyFont="1" applyFill="1" applyBorder="1" applyAlignment="1">
      <alignment horizontal="center" vertical="center" wrapText="1"/>
    </xf>
    <xf numFmtId="4" fontId="51" fillId="0" borderId="12"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51" fillId="0" borderId="0" xfId="0" applyFont="1" applyFill="1" applyAlignment="1">
      <alignment/>
    </xf>
    <xf numFmtId="0" fontId="2" fillId="0" borderId="11" xfId="0" applyFont="1" applyBorder="1" applyAlignment="1" quotePrefix="1">
      <alignment horizontal="center" vertical="center" wrapText="1"/>
    </xf>
    <xf numFmtId="2" fontId="51" fillId="0" borderId="10" xfId="0" applyNumberFormat="1" applyFont="1" applyBorder="1" applyAlignment="1">
      <alignment horizontal="center" vertical="center" wrapText="1"/>
    </xf>
    <xf numFmtId="0" fontId="51" fillId="0" borderId="11" xfId="0" applyFont="1" applyFill="1" applyBorder="1" applyAlignment="1" quotePrefix="1">
      <alignment horizontal="center" vertical="center" wrapText="1"/>
    </xf>
    <xf numFmtId="49" fontId="51" fillId="0" borderId="0" xfId="0" applyNumberFormat="1" applyFont="1" applyAlignment="1">
      <alignment horizontal="center" vertical="center" wrapText="1"/>
    </xf>
    <xf numFmtId="0" fontId="51" fillId="0" borderId="0" xfId="0" applyFont="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52" fillId="0" borderId="29" xfId="0" applyFont="1" applyBorder="1" applyAlignment="1">
      <alignment horizontal="right" vertical="top" wrapText="1"/>
    </xf>
    <xf numFmtId="0" fontId="52" fillId="0" borderId="0" xfId="0" applyFont="1" applyBorder="1" applyAlignment="1">
      <alignment horizontal="right" vertical="top" wrapText="1"/>
    </xf>
    <xf numFmtId="0" fontId="52" fillId="0" borderId="30" xfId="0" applyFont="1" applyBorder="1" applyAlignment="1">
      <alignment horizontal="right" vertical="top" wrapText="1"/>
    </xf>
    <xf numFmtId="0" fontId="52" fillId="0" borderId="10" xfId="0" applyFont="1" applyBorder="1" applyAlignment="1">
      <alignment horizontal="right" vertical="top" wrapText="1"/>
    </xf>
    <xf numFmtId="0" fontId="51" fillId="0" borderId="26" xfId="0" applyFont="1" applyBorder="1" applyAlignment="1">
      <alignment horizontal="left" vertical="center"/>
    </xf>
    <xf numFmtId="0" fontId="51" fillId="0" borderId="27" xfId="0" applyFont="1" applyBorder="1" applyAlignment="1">
      <alignment horizontal="left" vertical="center"/>
    </xf>
    <xf numFmtId="0" fontId="51" fillId="0" borderId="28" xfId="0" applyFont="1" applyBorder="1" applyAlignment="1">
      <alignment horizontal="left" vertical="center"/>
    </xf>
    <xf numFmtId="169" fontId="5" fillId="0" borderId="10" xfId="54" applyNumberFormat="1" applyFont="1" applyFill="1" applyBorder="1" applyAlignment="1">
      <alignment horizontal="center" vertical="center" wrapText="1"/>
      <protection/>
    </xf>
    <xf numFmtId="4" fontId="5" fillId="0" borderId="10" xfId="54" applyNumberFormat="1" applyFont="1" applyFill="1" applyBorder="1" applyAlignment="1">
      <alignment horizontal="left" vertical="center" wrapText="1"/>
      <protection/>
    </xf>
    <xf numFmtId="4" fontId="5" fillId="0" borderId="10" xfId="54" applyNumberFormat="1" applyFont="1" applyFill="1" applyBorder="1" applyAlignment="1">
      <alignment horizontal="center" vertical="center" wrapText="1"/>
      <protection/>
    </xf>
    <xf numFmtId="169" fontId="5" fillId="0" borderId="10" xfId="54" applyNumberFormat="1" applyFont="1" applyFill="1" applyBorder="1" applyAlignment="1">
      <alignment horizontal="left" vertical="center" wrapText="1"/>
      <protection/>
    </xf>
    <xf numFmtId="9" fontId="5" fillId="0" borderId="16" xfId="59" applyNumberFormat="1" applyFont="1" applyFill="1" applyBorder="1" applyAlignment="1">
      <alignment horizontal="center" vertical="center" wrapText="1"/>
    </xf>
    <xf numFmtId="9" fontId="5" fillId="0" borderId="13" xfId="59" applyNumberFormat="1" applyFont="1" applyFill="1" applyBorder="1" applyAlignment="1">
      <alignment horizontal="center" vertical="center" wrapText="1"/>
    </xf>
    <xf numFmtId="43" fontId="9" fillId="0" borderId="16" xfId="70" applyFont="1" applyFill="1" applyBorder="1" applyAlignment="1">
      <alignment horizontal="center" vertical="center" wrapText="1"/>
    </xf>
    <xf numFmtId="43" fontId="9" fillId="0" borderId="13" xfId="70" applyFont="1" applyFill="1" applyBorder="1" applyAlignment="1">
      <alignment horizontal="center" vertical="center" wrapText="1"/>
    </xf>
    <xf numFmtId="168" fontId="5" fillId="0" borderId="26" xfId="52" applyNumberFormat="1" applyFont="1" applyFill="1" applyBorder="1" applyAlignment="1">
      <alignment horizontal="right" vertical="center" wrapText="1"/>
      <protection/>
    </xf>
    <xf numFmtId="168" fontId="5" fillId="0" borderId="28" xfId="52" applyNumberFormat="1" applyFont="1" applyFill="1" applyBorder="1" applyAlignment="1">
      <alignment horizontal="right" vertical="center" wrapText="1"/>
      <protection/>
    </xf>
    <xf numFmtId="0" fontId="5" fillId="0" borderId="26" xfId="52" applyFont="1" applyFill="1" applyBorder="1" applyAlignment="1">
      <alignment horizontal="center" vertical="center" wrapText="1"/>
      <protection/>
    </xf>
    <xf numFmtId="0" fontId="5" fillId="0" borderId="28" xfId="52" applyFont="1" applyFill="1" applyBorder="1" applyAlignment="1">
      <alignment horizontal="center" vertical="center" wrapText="1"/>
      <protection/>
    </xf>
    <xf numFmtId="49" fontId="5" fillId="0" borderId="26" xfId="52" applyNumberFormat="1" applyFont="1" applyFill="1" applyBorder="1" applyAlignment="1">
      <alignment horizontal="center" vertical="center" wrapText="1"/>
      <protection/>
    </xf>
    <xf numFmtId="49" fontId="5" fillId="0" borderId="28" xfId="52" applyNumberFormat="1" applyFont="1" applyFill="1" applyBorder="1" applyAlignment="1">
      <alignment horizontal="center" vertical="center" wrapText="1"/>
      <protection/>
    </xf>
    <xf numFmtId="43" fontId="9" fillId="0" borderId="16" xfId="52" applyNumberFormat="1" applyFont="1" applyFill="1" applyBorder="1" applyAlignment="1">
      <alignment horizontal="center" vertical="center" wrapText="1"/>
      <protection/>
    </xf>
    <xf numFmtId="43" fontId="9" fillId="0" borderId="13" xfId="52" applyNumberFormat="1" applyFont="1" applyFill="1" applyBorder="1" applyAlignment="1">
      <alignment horizontal="center" vertical="center" wrapText="1"/>
      <protection/>
    </xf>
    <xf numFmtId="49" fontId="9" fillId="0" borderId="16" xfId="52" applyNumberFormat="1" applyFont="1" applyFill="1" applyBorder="1" applyAlignment="1">
      <alignment horizontal="center" vertical="center" wrapText="1"/>
      <protection/>
    </xf>
    <xf numFmtId="49" fontId="9" fillId="0" borderId="13" xfId="52" applyNumberFormat="1" applyFont="1" applyFill="1" applyBorder="1" applyAlignment="1">
      <alignment horizontal="center" vertical="center" wrapText="1"/>
      <protection/>
    </xf>
    <xf numFmtId="0" fontId="9" fillId="0" borderId="16" xfId="52" applyFont="1" applyFill="1" applyBorder="1" applyAlignment="1">
      <alignment horizontal="left" vertical="center" wrapText="1" indent="2"/>
      <protection/>
    </xf>
    <xf numFmtId="0" fontId="9" fillId="0" borderId="13" xfId="52" applyFont="1" applyFill="1" applyBorder="1" applyAlignment="1">
      <alignment horizontal="left" vertical="center" wrapText="1" indent="2"/>
      <protection/>
    </xf>
    <xf numFmtId="0" fontId="5" fillId="0" borderId="16" xfId="52" applyFont="1" applyFill="1" applyBorder="1" applyAlignment="1">
      <alignment horizontal="center" vertical="center" wrapText="1"/>
      <protection/>
    </xf>
    <xf numFmtId="0" fontId="5" fillId="0" borderId="13" xfId="52" applyFont="1" applyFill="1" applyBorder="1" applyAlignment="1">
      <alignment horizontal="center" vertical="center" wrapText="1"/>
      <protection/>
    </xf>
    <xf numFmtId="0" fontId="5" fillId="0" borderId="31" xfId="52" applyFont="1" applyFill="1" applyBorder="1" applyAlignment="1">
      <alignment horizontal="left" vertical="center" wrapText="1"/>
      <protection/>
    </xf>
    <xf numFmtId="0" fontId="5" fillId="0" borderId="32" xfId="52" applyFont="1" applyFill="1" applyBorder="1" applyAlignment="1">
      <alignment horizontal="left" vertical="center" wrapText="1"/>
      <protection/>
    </xf>
    <xf numFmtId="0" fontId="5" fillId="0" borderId="33" xfId="52" applyFont="1" applyFill="1" applyBorder="1" applyAlignment="1">
      <alignment horizontal="left" vertical="center" wrapText="1"/>
      <protection/>
    </xf>
    <xf numFmtId="0" fontId="5" fillId="0" borderId="34" xfId="52" applyFont="1" applyFill="1" applyBorder="1" applyAlignment="1">
      <alignment horizontal="left" vertical="center" wrapText="1"/>
      <protection/>
    </xf>
    <xf numFmtId="43" fontId="9" fillId="0" borderId="16" xfId="52" applyNumberFormat="1" applyFont="1" applyFill="1" applyBorder="1" applyAlignment="1">
      <alignment vertical="center" wrapText="1"/>
      <protection/>
    </xf>
    <xf numFmtId="43" fontId="9" fillId="0" borderId="13" xfId="52" applyNumberFormat="1" applyFont="1" applyFill="1" applyBorder="1" applyAlignment="1">
      <alignment vertical="center" wrapText="1"/>
      <protection/>
    </xf>
    <xf numFmtId="172" fontId="10" fillId="0" borderId="35" xfId="72" applyFont="1" applyFill="1" applyBorder="1" applyAlignment="1">
      <alignment horizontal="center" wrapText="1"/>
    </xf>
    <xf numFmtId="44" fontId="5" fillId="0" borderId="36" xfId="47" applyFont="1" applyFill="1" applyBorder="1" applyAlignment="1">
      <alignment vertical="center" wrapText="1"/>
    </xf>
    <xf numFmtId="44" fontId="5" fillId="0" borderId="37" xfId="47" applyFont="1" applyFill="1" applyBorder="1" applyAlignment="1">
      <alignment vertical="center" wrapText="1"/>
    </xf>
    <xf numFmtId="169" fontId="5" fillId="0" borderId="0" xfId="54" applyNumberFormat="1" applyFont="1" applyFill="1" applyBorder="1" applyAlignment="1">
      <alignment horizontal="center" vertical="center" wrapText="1"/>
      <protection/>
    </xf>
    <xf numFmtId="4" fontId="5" fillId="0" borderId="26" xfId="54" applyNumberFormat="1" applyFont="1" applyFill="1" applyBorder="1" applyAlignment="1">
      <alignment horizontal="left" vertical="center" wrapText="1"/>
      <protection/>
    </xf>
    <xf numFmtId="4" fontId="5" fillId="0" borderId="27" xfId="54" applyNumberFormat="1" applyFont="1" applyFill="1" applyBorder="1" applyAlignment="1">
      <alignment horizontal="left" vertical="center" wrapText="1"/>
      <protection/>
    </xf>
    <xf numFmtId="4" fontId="5" fillId="0" borderId="28" xfId="54" applyNumberFormat="1" applyFont="1" applyFill="1" applyBorder="1" applyAlignment="1">
      <alignment horizontal="left" vertical="center" wrapText="1"/>
      <protection/>
    </xf>
    <xf numFmtId="0" fontId="5" fillId="0" borderId="27" xfId="52" applyFont="1" applyFill="1" applyBorder="1" applyAlignment="1">
      <alignment horizontal="center" vertical="center" wrapText="1"/>
      <protection/>
    </xf>
    <xf numFmtId="169" fontId="5" fillId="0" borderId="26" xfId="54" applyNumberFormat="1" applyFont="1" applyFill="1" applyBorder="1" applyAlignment="1">
      <alignment horizontal="left" vertical="center" wrapText="1"/>
      <protection/>
    </xf>
    <xf numFmtId="169" fontId="5" fillId="0" borderId="27" xfId="54" applyNumberFormat="1" applyFont="1" applyFill="1" applyBorder="1" applyAlignment="1">
      <alignment horizontal="left" vertical="center" wrapText="1"/>
      <protection/>
    </xf>
    <xf numFmtId="169" fontId="5" fillId="0" borderId="28" xfId="54" applyNumberFormat="1" applyFont="1" applyFill="1" applyBorder="1" applyAlignment="1">
      <alignment horizontal="left" vertical="center" wrapText="1"/>
      <protection/>
    </xf>
  </cellXfs>
  <cellStyles count="5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2 2" xfId="51"/>
    <cellStyle name="Normal 2 4" xfId="52"/>
    <cellStyle name="Normal 2_ORC_ES_M3R40 - Eng Novo Revisada" xfId="53"/>
    <cellStyle name="Normal_Plan1" xfId="54"/>
    <cellStyle name="Nota" xfId="55"/>
    <cellStyle name="Percent" xfId="56"/>
    <cellStyle name="Porcentagem 2" xfId="57"/>
    <cellStyle name="Porcentagem 2 2" xfId="58"/>
    <cellStyle name="Porcentagem 3" xfId="59"/>
    <cellStyle name="Saída" xfId="60"/>
    <cellStyle name="Comma [0]"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 name="Vírgula 2" xfId="71"/>
    <cellStyle name="Vírgula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0</xdr:col>
      <xdr:colOff>57150</xdr:colOff>
      <xdr:row>2</xdr:row>
      <xdr:rowOff>9525</xdr:rowOff>
    </xdr:to>
    <xdr:sp>
      <xdr:nvSpPr>
        <xdr:cNvPr id="1" name="Rectangle 44"/>
        <xdr:cNvSpPr>
          <a:spLocks/>
        </xdr:cNvSpPr>
      </xdr:nvSpPr>
      <xdr:spPr>
        <a:xfrm>
          <a:off x="9525" y="1095375"/>
          <a:ext cx="47625" cy="9525"/>
        </a:xfrm>
        <a:prstGeom prst="rect">
          <a:avLst/>
        </a:prstGeom>
        <a:noFill/>
        <a:ln w="0" cmpd="sng">
          <a:noFill/>
        </a:ln>
      </xdr:spPr>
      <xdr:txBody>
        <a:bodyPr vertOverflow="clip" wrap="square" lIns="0" tIns="0" rIns="0" bIns="0" anchor="ctr"/>
        <a:p>
          <a:pPr algn="l">
            <a:defRPr/>
          </a:pPr>
          <a:r>
            <a:rPr lang="en-US" cap="none" sz="1600" b="0" i="0" u="none" baseline="0">
              <a:solidFill>
                <a:srgbClr val="000000"/>
              </a:solidFill>
            </a:rPr>
            <a:t> </a:t>
          </a:r>
        </a:p>
      </xdr:txBody>
    </xdr:sp>
    <xdr:clientData/>
  </xdr:twoCellAnchor>
  <xdr:oneCellAnchor>
    <xdr:from>
      <xdr:col>0</xdr:col>
      <xdr:colOff>0</xdr:colOff>
      <xdr:row>0</xdr:row>
      <xdr:rowOff>0</xdr:rowOff>
    </xdr:from>
    <xdr:ext cx="9258300" cy="704850"/>
    <xdr:sp>
      <xdr:nvSpPr>
        <xdr:cNvPr id="2" name="AutoShape 8"/>
        <xdr:cNvSpPr>
          <a:spLocks noChangeAspect="1"/>
        </xdr:cNvSpPr>
      </xdr:nvSpPr>
      <xdr:spPr>
        <a:xfrm>
          <a:off x="0" y="0"/>
          <a:ext cx="925830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152400</xdr:colOff>
      <xdr:row>0</xdr:row>
      <xdr:rowOff>57150</xdr:rowOff>
    </xdr:from>
    <xdr:to>
      <xdr:col>0</xdr:col>
      <xdr:colOff>1009650</xdr:colOff>
      <xdr:row>0</xdr:row>
      <xdr:rowOff>866775</xdr:rowOff>
    </xdr:to>
    <xdr:pic>
      <xdr:nvPicPr>
        <xdr:cNvPr id="3" name="Picture 45"/>
        <xdr:cNvPicPr preferRelativeResize="1">
          <a:picLocks noChangeAspect="1"/>
        </xdr:cNvPicPr>
      </xdr:nvPicPr>
      <xdr:blipFill>
        <a:blip r:embed="rId1"/>
        <a:stretch>
          <a:fillRect/>
        </a:stretch>
      </xdr:blipFill>
      <xdr:spPr>
        <a:xfrm>
          <a:off x="152400" y="57150"/>
          <a:ext cx="857250" cy="809625"/>
        </a:xfrm>
        <a:prstGeom prst="rect">
          <a:avLst/>
        </a:prstGeom>
        <a:noFill/>
        <a:ln w="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0</xdr:col>
      <xdr:colOff>57150</xdr:colOff>
      <xdr:row>3</xdr:row>
      <xdr:rowOff>9525</xdr:rowOff>
    </xdr:to>
    <xdr:sp>
      <xdr:nvSpPr>
        <xdr:cNvPr id="1" name="Rectangle 44"/>
        <xdr:cNvSpPr>
          <a:spLocks/>
        </xdr:cNvSpPr>
      </xdr:nvSpPr>
      <xdr:spPr>
        <a:xfrm>
          <a:off x="9525" y="571500"/>
          <a:ext cx="47625" cy="9525"/>
        </a:xfrm>
        <a:prstGeom prst="rect">
          <a:avLst/>
        </a:prstGeom>
        <a:noFill/>
        <a:ln w="0" cmpd="sng">
          <a:noFill/>
        </a:ln>
      </xdr:spPr>
      <xdr:txBody>
        <a:bodyPr vertOverflow="clip" wrap="square" lIns="0" tIns="0" rIns="0" bIns="0" anchor="ctr"/>
        <a:p>
          <a:pPr algn="l">
            <a:defRPr/>
          </a:pPr>
          <a:r>
            <a:rPr lang="en-US" cap="none" sz="1600" b="0" i="0" u="none" baseline="0">
              <a:solidFill>
                <a:srgbClr val="000000"/>
              </a:solidFill>
            </a:rPr>
            <a:t> </a:t>
          </a:r>
        </a:p>
      </xdr:txBody>
    </xdr:sp>
    <xdr:clientData/>
  </xdr:twoCellAnchor>
  <xdr:oneCellAnchor>
    <xdr:from>
      <xdr:col>0</xdr:col>
      <xdr:colOff>0</xdr:colOff>
      <xdr:row>0</xdr:row>
      <xdr:rowOff>0</xdr:rowOff>
    </xdr:from>
    <xdr:ext cx="828675" cy="571500"/>
    <xdr:sp>
      <xdr:nvSpPr>
        <xdr:cNvPr id="2" name="AutoShape 8"/>
        <xdr:cNvSpPr>
          <a:spLocks noChangeAspect="1"/>
        </xdr:cNvSpPr>
      </xdr:nvSpPr>
      <xdr:spPr>
        <a:xfrm>
          <a:off x="0" y="0"/>
          <a:ext cx="8286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57150</xdr:colOff>
      <xdr:row>0</xdr:row>
      <xdr:rowOff>57150</xdr:rowOff>
    </xdr:from>
    <xdr:to>
      <xdr:col>0</xdr:col>
      <xdr:colOff>657225</xdr:colOff>
      <xdr:row>2</xdr:row>
      <xdr:rowOff>171450</xdr:rowOff>
    </xdr:to>
    <xdr:pic>
      <xdr:nvPicPr>
        <xdr:cNvPr id="3" name="Picture 45"/>
        <xdr:cNvPicPr preferRelativeResize="1">
          <a:picLocks noChangeAspect="1"/>
        </xdr:cNvPicPr>
      </xdr:nvPicPr>
      <xdr:blipFill>
        <a:blip r:embed="rId1"/>
        <a:stretch>
          <a:fillRect/>
        </a:stretch>
      </xdr:blipFill>
      <xdr:spPr>
        <a:xfrm>
          <a:off x="57150" y="57150"/>
          <a:ext cx="600075" cy="495300"/>
        </a:xfrm>
        <a:prstGeom prst="rect">
          <a:avLst/>
        </a:prstGeom>
        <a:noFill/>
        <a:ln w="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95325" cy="571500"/>
    <xdr:sp>
      <xdr:nvSpPr>
        <xdr:cNvPr id="1" name="AutoShape 8"/>
        <xdr:cNvSpPr>
          <a:spLocks noChangeAspect="1"/>
        </xdr:cNvSpPr>
      </xdr:nvSpPr>
      <xdr:spPr>
        <a:xfrm>
          <a:off x="0" y="0"/>
          <a:ext cx="6953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57150</xdr:colOff>
      <xdr:row>0</xdr:row>
      <xdr:rowOff>57150</xdr:rowOff>
    </xdr:from>
    <xdr:to>
      <xdr:col>1</xdr:col>
      <xdr:colOff>114300</xdr:colOff>
      <xdr:row>2</xdr:row>
      <xdr:rowOff>304800</xdr:rowOff>
    </xdr:to>
    <xdr:pic>
      <xdr:nvPicPr>
        <xdr:cNvPr id="2" name="Picture 45"/>
        <xdr:cNvPicPr preferRelativeResize="1">
          <a:picLocks noChangeAspect="1"/>
        </xdr:cNvPicPr>
      </xdr:nvPicPr>
      <xdr:blipFill>
        <a:blip r:embed="rId1"/>
        <a:stretch>
          <a:fillRect/>
        </a:stretch>
      </xdr:blipFill>
      <xdr:spPr>
        <a:xfrm>
          <a:off x="57150" y="57150"/>
          <a:ext cx="628650" cy="628650"/>
        </a:xfrm>
        <a:prstGeom prst="rect">
          <a:avLst/>
        </a:prstGeom>
        <a:no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A25" sqref="A25"/>
    </sheetView>
  </sheetViews>
  <sheetFormatPr defaultColWidth="9.140625" defaultRowHeight="15"/>
  <cols>
    <col min="1" max="1" width="136.7109375" style="71" customWidth="1"/>
    <col min="2" max="16384" width="9.140625" style="1" customWidth="1"/>
  </cols>
  <sheetData>
    <row r="1" spans="1:13" ht="71.25" customHeight="1">
      <c r="A1" s="79" t="s">
        <v>770</v>
      </c>
      <c r="B1" s="60"/>
      <c r="C1" s="60"/>
      <c r="D1" s="60"/>
      <c r="E1" s="60"/>
      <c r="F1" s="60"/>
      <c r="G1" s="60"/>
      <c r="H1" s="60"/>
      <c r="I1" s="60"/>
      <c r="J1" s="60"/>
      <c r="K1" s="60"/>
      <c r="L1" s="60"/>
      <c r="M1" s="60"/>
    </row>
    <row r="2" spans="1:13" ht="15" customHeight="1">
      <c r="A2" s="60"/>
      <c r="B2" s="60"/>
      <c r="C2" s="60"/>
      <c r="D2" s="60"/>
      <c r="E2" s="60"/>
      <c r="F2" s="60"/>
      <c r="G2" s="60"/>
      <c r="H2" s="60"/>
      <c r="I2" s="60"/>
      <c r="J2" s="60"/>
      <c r="K2" s="60"/>
      <c r="L2" s="60"/>
      <c r="M2" s="60"/>
    </row>
    <row r="3" spans="1:13" ht="15" customHeight="1">
      <c r="A3" s="73" t="s">
        <v>693</v>
      </c>
      <c r="B3" s="73"/>
      <c r="C3" s="73"/>
      <c r="D3" s="73"/>
      <c r="E3" s="73"/>
      <c r="F3" s="73"/>
      <c r="G3" s="73"/>
      <c r="H3" s="73"/>
      <c r="I3" s="73"/>
      <c r="J3" s="73"/>
      <c r="K3" s="73"/>
      <c r="L3" s="73"/>
      <c r="M3" s="73"/>
    </row>
    <row r="4" spans="1:13" ht="16.5" thickBot="1">
      <c r="A4" s="80" t="s">
        <v>701</v>
      </c>
      <c r="B4" s="60"/>
      <c r="C4" s="60"/>
      <c r="D4" s="60"/>
      <c r="E4" s="60"/>
      <c r="F4" s="60"/>
      <c r="G4" s="60"/>
      <c r="H4" s="60"/>
      <c r="I4" s="60"/>
      <c r="J4" s="60"/>
      <c r="K4" s="60"/>
      <c r="L4" s="60"/>
      <c r="M4" s="60"/>
    </row>
    <row r="5" ht="25.5" customHeight="1" thickBot="1" thickTop="1">
      <c r="A5" s="74" t="s">
        <v>640</v>
      </c>
    </row>
    <row r="6" ht="30.75" thickTop="1">
      <c r="A6" s="71" t="s">
        <v>757</v>
      </c>
    </row>
    <row r="8" ht="30">
      <c r="A8" s="78" t="s">
        <v>758</v>
      </c>
    </row>
    <row r="10" ht="15">
      <c r="A10" s="71" t="s">
        <v>759</v>
      </c>
    </row>
    <row r="12" ht="45">
      <c r="A12" s="71" t="s">
        <v>760</v>
      </c>
    </row>
    <row r="14" ht="15">
      <c r="A14" s="71" t="s">
        <v>761</v>
      </c>
    </row>
    <row r="16" ht="15">
      <c r="A16" s="71" t="s">
        <v>762</v>
      </c>
    </row>
    <row r="18" ht="15">
      <c r="A18" s="71" t="s">
        <v>763</v>
      </c>
    </row>
    <row r="20" ht="15">
      <c r="A20" s="71" t="s">
        <v>764</v>
      </c>
    </row>
    <row r="22" ht="144" customHeight="1">
      <c r="A22" s="71" t="s">
        <v>765</v>
      </c>
    </row>
    <row r="24" ht="27" customHeight="1">
      <c r="A24" s="71" t="s">
        <v>766</v>
      </c>
    </row>
    <row r="25" ht="22.5" customHeight="1"/>
    <row r="26" ht="30">
      <c r="A26" s="71" t="s">
        <v>767</v>
      </c>
    </row>
    <row r="27" ht="22.5" customHeight="1"/>
    <row r="28" ht="15">
      <c r="A28" s="71" t="s">
        <v>768</v>
      </c>
    </row>
    <row r="29" ht="22.5" customHeight="1"/>
    <row r="30" ht="22.5" customHeight="1"/>
    <row r="32" ht="39" customHeight="1"/>
    <row r="34" ht="39.75" customHeight="1"/>
    <row r="36" ht="21.75" customHeight="1"/>
    <row r="37" ht="21.75" customHeight="1">
      <c r="A37" s="72"/>
    </row>
    <row r="38" ht="21.75" customHeight="1">
      <c r="A38" s="72"/>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380"/>
  <sheetViews>
    <sheetView showGridLines="0" view="pageBreakPreview" zoomScale="115" zoomScaleSheetLayoutView="115" zoomScalePageLayoutView="0" workbookViewId="0" topLeftCell="A373">
      <selection activeCell="B369" sqref="B369"/>
    </sheetView>
  </sheetViews>
  <sheetFormatPr defaultColWidth="9.140625" defaultRowHeight="15"/>
  <cols>
    <col min="1" max="1" width="9.8515625" style="17" customWidth="1"/>
    <col min="2" max="2" width="50.00390625" style="1" customWidth="1"/>
    <col min="3" max="3" width="7.7109375" style="1" customWidth="1"/>
    <col min="4" max="4" width="9.8515625" style="18" customWidth="1"/>
    <col min="5" max="5" width="9.57421875" style="17" customWidth="1"/>
    <col min="6" max="6" width="14.28125" style="18" customWidth="1"/>
    <col min="7" max="9" width="9.140625" style="2" customWidth="1"/>
    <col min="10" max="10" width="12.57421875" style="2" bestFit="1" customWidth="1"/>
    <col min="11" max="16384" width="9.140625" style="2" customWidth="1"/>
  </cols>
  <sheetData>
    <row r="1" spans="1:6" ht="15">
      <c r="A1" s="120" t="s">
        <v>770</v>
      </c>
      <c r="B1" s="120"/>
      <c r="C1" s="120"/>
      <c r="D1" s="120"/>
      <c r="E1" s="120"/>
      <c r="F1" s="120"/>
    </row>
    <row r="2" spans="1:6" ht="15">
      <c r="A2" s="120"/>
      <c r="B2" s="120"/>
      <c r="C2" s="120"/>
      <c r="D2" s="120"/>
      <c r="E2" s="120"/>
      <c r="F2" s="120"/>
    </row>
    <row r="3" spans="1:6" ht="15">
      <c r="A3" s="120"/>
      <c r="B3" s="120"/>
      <c r="C3" s="120"/>
      <c r="D3" s="120"/>
      <c r="E3" s="120"/>
      <c r="F3" s="120"/>
    </row>
    <row r="4" spans="1:6" ht="18.75" customHeight="1">
      <c r="A4" s="121" t="s">
        <v>693</v>
      </c>
      <c r="B4" s="121"/>
      <c r="C4" s="121"/>
      <c r="D4" s="122" t="s">
        <v>595</v>
      </c>
      <c r="E4" s="122"/>
      <c r="F4" s="38">
        <v>43040</v>
      </c>
    </row>
    <row r="5" spans="1:6" ht="18.75" customHeight="1">
      <c r="A5" s="121"/>
      <c r="B5" s="121"/>
      <c r="C5" s="121"/>
      <c r="D5" s="122" t="s">
        <v>596</v>
      </c>
      <c r="E5" s="122"/>
      <c r="F5" s="37">
        <v>128.33</v>
      </c>
    </row>
    <row r="6" spans="1:6" ht="18.75" customHeight="1">
      <c r="A6" s="123" t="s">
        <v>701</v>
      </c>
      <c r="B6" s="123"/>
      <c r="C6" s="123"/>
      <c r="D6" s="122" t="s">
        <v>597</v>
      </c>
      <c r="E6" s="122"/>
      <c r="F6" s="39">
        <v>0.309</v>
      </c>
    </row>
    <row r="7" spans="1:6" ht="26.25" customHeight="1">
      <c r="A7" s="5" t="s">
        <v>598</v>
      </c>
      <c r="B7" s="117" t="s">
        <v>664</v>
      </c>
      <c r="C7" s="118"/>
      <c r="D7" s="118"/>
      <c r="E7" s="118"/>
      <c r="F7" s="119"/>
    </row>
    <row r="8" spans="1:11" s="85" customFormat="1" ht="34.5" customHeight="1">
      <c r="A8" s="97" t="s">
        <v>0</v>
      </c>
      <c r="B8" s="98" t="s">
        <v>1</v>
      </c>
      <c r="C8" s="97" t="s">
        <v>2</v>
      </c>
      <c r="D8" s="101" t="s">
        <v>3</v>
      </c>
      <c r="E8" s="99" t="s">
        <v>570</v>
      </c>
      <c r="F8" s="100" t="s">
        <v>571</v>
      </c>
      <c r="G8" s="93"/>
      <c r="H8" s="93"/>
      <c r="I8" s="93"/>
      <c r="J8" s="93"/>
      <c r="K8" s="93"/>
    </row>
    <row r="9" spans="1:6" ht="15">
      <c r="A9" s="20" t="s">
        <v>4</v>
      </c>
      <c r="B9" s="25" t="s">
        <v>5</v>
      </c>
      <c r="C9" s="21"/>
      <c r="D9" s="44"/>
      <c r="E9" s="3"/>
      <c r="F9" s="4"/>
    </row>
    <row r="10" spans="1:6" ht="15">
      <c r="A10" s="29" t="s">
        <v>6</v>
      </c>
      <c r="B10" s="26" t="s">
        <v>7</v>
      </c>
      <c r="C10" s="22"/>
      <c r="D10" s="45"/>
      <c r="E10" s="6"/>
      <c r="F10" s="7"/>
    </row>
    <row r="11" spans="1:6" ht="30">
      <c r="A11" s="105" t="s">
        <v>728</v>
      </c>
      <c r="B11" s="34" t="s">
        <v>8</v>
      </c>
      <c r="C11" s="33" t="s">
        <v>9</v>
      </c>
      <c r="D11" s="46">
        <v>20.54</v>
      </c>
      <c r="E11" s="35">
        <f>68.93+3</f>
        <v>71.93</v>
      </c>
      <c r="F11" s="36">
        <f>E11*D11</f>
        <v>1477.4422000000002</v>
      </c>
    </row>
    <row r="12" spans="1:6" ht="15">
      <c r="A12" s="11" t="s">
        <v>10</v>
      </c>
      <c r="B12" s="10" t="s">
        <v>11</v>
      </c>
      <c r="C12" s="11" t="s">
        <v>9</v>
      </c>
      <c r="D12" s="19">
        <v>11.06</v>
      </c>
      <c r="E12" s="8">
        <f>87.15+7.4</f>
        <v>94.55000000000001</v>
      </c>
      <c r="F12" s="9">
        <f aca="true" t="shared" si="0" ref="F12:F41">E12*D12</f>
        <v>1045.7230000000002</v>
      </c>
    </row>
    <row r="13" spans="1:6" ht="30">
      <c r="A13" s="11" t="s">
        <v>12</v>
      </c>
      <c r="B13" s="10" t="s">
        <v>13</v>
      </c>
      <c r="C13" s="11" t="s">
        <v>9</v>
      </c>
      <c r="D13" s="19">
        <v>22.11</v>
      </c>
      <c r="E13" s="8">
        <v>10.7</v>
      </c>
      <c r="F13" s="9">
        <f t="shared" si="0"/>
        <v>236.57699999999997</v>
      </c>
    </row>
    <row r="14" spans="1:6" ht="15">
      <c r="A14" s="11" t="s">
        <v>14</v>
      </c>
      <c r="B14" s="10" t="s">
        <v>15</v>
      </c>
      <c r="C14" s="11" t="s">
        <v>9</v>
      </c>
      <c r="D14" s="19">
        <v>15.8</v>
      </c>
      <c r="E14" s="8">
        <f>2</f>
        <v>2</v>
      </c>
      <c r="F14" s="9">
        <f t="shared" si="0"/>
        <v>31.6</v>
      </c>
    </row>
    <row r="15" spans="1:6" ht="15">
      <c r="A15" s="30" t="s">
        <v>756</v>
      </c>
      <c r="B15" s="10" t="s">
        <v>16</v>
      </c>
      <c r="C15" s="11" t="s">
        <v>9</v>
      </c>
      <c r="D15" s="19">
        <v>39.48</v>
      </c>
      <c r="E15" s="8">
        <f>32.59+3.44+16.56+14.58</f>
        <v>67.17</v>
      </c>
      <c r="F15" s="9">
        <f t="shared" si="0"/>
        <v>2651.8716</v>
      </c>
    </row>
    <row r="16" spans="1:6" ht="15">
      <c r="A16" s="11" t="s">
        <v>17</v>
      </c>
      <c r="B16" s="10" t="s">
        <v>18</v>
      </c>
      <c r="C16" s="11" t="s">
        <v>9</v>
      </c>
      <c r="D16" s="19">
        <v>7.89</v>
      </c>
      <c r="E16" s="8">
        <v>20</v>
      </c>
      <c r="F16" s="9">
        <f t="shared" si="0"/>
        <v>157.79999999999998</v>
      </c>
    </row>
    <row r="17" spans="1:6" ht="15">
      <c r="A17" s="11" t="s">
        <v>19</v>
      </c>
      <c r="B17" s="10" t="s">
        <v>20</v>
      </c>
      <c r="C17" s="11" t="s">
        <v>21</v>
      </c>
      <c r="D17" s="19">
        <v>47.39</v>
      </c>
      <c r="E17" s="8">
        <f>0.54+0.65+0.54+1.09+0.29+1.7+1.23+6.65+1.21+1</f>
        <v>14.900000000000002</v>
      </c>
      <c r="F17" s="9">
        <f t="shared" si="0"/>
        <v>706.1110000000001</v>
      </c>
    </row>
    <row r="18" spans="1:6" ht="30">
      <c r="A18" s="11" t="s">
        <v>22</v>
      </c>
      <c r="B18" s="10" t="s">
        <v>23</v>
      </c>
      <c r="C18" s="11" t="s">
        <v>21</v>
      </c>
      <c r="D18" s="19">
        <v>222.43</v>
      </c>
      <c r="E18" s="8">
        <v>1</v>
      </c>
      <c r="F18" s="9">
        <f t="shared" si="0"/>
        <v>222.43</v>
      </c>
    </row>
    <row r="19" spans="1:6" ht="30">
      <c r="A19" s="11" t="s">
        <v>24</v>
      </c>
      <c r="B19" s="10" t="s">
        <v>25</v>
      </c>
      <c r="C19" s="11" t="s">
        <v>9</v>
      </c>
      <c r="D19" s="19">
        <v>12.63</v>
      </c>
      <c r="E19" s="8">
        <f>7.8+1.47+15.6+10.42+3.78+3.84</f>
        <v>42.91</v>
      </c>
      <c r="F19" s="9">
        <f t="shared" si="0"/>
        <v>541.9533</v>
      </c>
    </row>
    <row r="20" spans="1:6" ht="15">
      <c r="A20" s="11" t="s">
        <v>26</v>
      </c>
      <c r="B20" s="10" t="s">
        <v>27</v>
      </c>
      <c r="C20" s="11" t="s">
        <v>9</v>
      </c>
      <c r="D20" s="19">
        <v>7.89</v>
      </c>
      <c r="E20" s="8">
        <f>6.24+1.8+1.05+15.6+10.2</f>
        <v>34.89</v>
      </c>
      <c r="F20" s="9">
        <f t="shared" si="0"/>
        <v>275.2821</v>
      </c>
    </row>
    <row r="21" spans="1:6" ht="15">
      <c r="A21" s="11" t="s">
        <v>28</v>
      </c>
      <c r="B21" s="10" t="s">
        <v>29</v>
      </c>
      <c r="C21" s="11" t="s">
        <v>30</v>
      </c>
      <c r="D21" s="19">
        <v>7.89</v>
      </c>
      <c r="E21" s="8">
        <v>37.65</v>
      </c>
      <c r="F21" s="9">
        <f t="shared" si="0"/>
        <v>297.0585</v>
      </c>
    </row>
    <row r="22" spans="1:6" ht="30">
      <c r="A22" s="11" t="s">
        <v>31</v>
      </c>
      <c r="B22" s="10" t="s">
        <v>32</v>
      </c>
      <c r="C22" s="11" t="s">
        <v>21</v>
      </c>
      <c r="D22" s="19">
        <v>261.62</v>
      </c>
      <c r="E22" s="8">
        <f>1.5</f>
        <v>1.5</v>
      </c>
      <c r="F22" s="9">
        <f t="shared" si="0"/>
        <v>392.43</v>
      </c>
    </row>
    <row r="23" spans="1:6" ht="15">
      <c r="A23" s="11" t="s">
        <v>34</v>
      </c>
      <c r="B23" s="10" t="s">
        <v>35</v>
      </c>
      <c r="C23" s="11" t="s">
        <v>33</v>
      </c>
      <c r="D23" s="19">
        <v>16.41</v>
      </c>
      <c r="E23" s="8">
        <v>6</v>
      </c>
      <c r="F23" s="9">
        <f t="shared" si="0"/>
        <v>98.46000000000001</v>
      </c>
    </row>
    <row r="24" spans="1:6" ht="15">
      <c r="A24" s="11" t="s">
        <v>36</v>
      </c>
      <c r="B24" s="10" t="s">
        <v>37</v>
      </c>
      <c r="C24" s="11" t="s">
        <v>9</v>
      </c>
      <c r="D24" s="19">
        <v>13.9</v>
      </c>
      <c r="E24" s="8">
        <f>1.6+1.26</f>
        <v>2.8600000000000003</v>
      </c>
      <c r="F24" s="9">
        <f t="shared" si="0"/>
        <v>39.754000000000005</v>
      </c>
    </row>
    <row r="25" spans="1:6" ht="15">
      <c r="A25" s="11" t="s">
        <v>38</v>
      </c>
      <c r="B25" s="10" t="s">
        <v>39</v>
      </c>
      <c r="C25" s="11" t="s">
        <v>9</v>
      </c>
      <c r="D25" s="19">
        <v>19.69</v>
      </c>
      <c r="E25" s="8">
        <v>0.6</v>
      </c>
      <c r="F25" s="9">
        <f t="shared" si="0"/>
        <v>11.814</v>
      </c>
    </row>
    <row r="26" spans="1:6" ht="30">
      <c r="A26" s="11" t="s">
        <v>40</v>
      </c>
      <c r="B26" s="10" t="s">
        <v>41</v>
      </c>
      <c r="C26" s="11" t="s">
        <v>33</v>
      </c>
      <c r="D26" s="19">
        <v>32.82</v>
      </c>
      <c r="E26" s="8">
        <v>2</v>
      </c>
      <c r="F26" s="9">
        <f t="shared" si="0"/>
        <v>65.64</v>
      </c>
    </row>
    <row r="27" spans="1:6" ht="15">
      <c r="A27" s="11" t="s">
        <v>42</v>
      </c>
      <c r="B27" s="10" t="s">
        <v>43</v>
      </c>
      <c r="C27" s="11" t="s">
        <v>9</v>
      </c>
      <c r="D27" s="19">
        <v>5.04</v>
      </c>
      <c r="E27" s="8">
        <f>(0.6*0.95)+185.9</f>
        <v>186.47</v>
      </c>
      <c r="F27" s="9">
        <f t="shared" si="0"/>
        <v>939.8088</v>
      </c>
    </row>
    <row r="28" spans="1:6" ht="15">
      <c r="A28" s="11" t="s">
        <v>44</v>
      </c>
      <c r="B28" s="10" t="s">
        <v>45</v>
      </c>
      <c r="C28" s="11" t="s">
        <v>9</v>
      </c>
      <c r="D28" s="19">
        <v>20.54</v>
      </c>
      <c r="E28" s="8">
        <v>2</v>
      </c>
      <c r="F28" s="9">
        <f t="shared" si="0"/>
        <v>41.08</v>
      </c>
    </row>
    <row r="29" spans="1:6" ht="30">
      <c r="A29" s="11" t="s">
        <v>46</v>
      </c>
      <c r="B29" s="10" t="s">
        <v>47</v>
      </c>
      <c r="C29" s="11" t="s">
        <v>9</v>
      </c>
      <c r="D29" s="19">
        <v>7.89</v>
      </c>
      <c r="E29" s="8">
        <f>51.55+3</f>
        <v>54.55</v>
      </c>
      <c r="F29" s="9">
        <f t="shared" si="0"/>
        <v>430.39949999999993</v>
      </c>
    </row>
    <row r="30" spans="1:6" ht="15">
      <c r="A30" s="30" t="s">
        <v>755</v>
      </c>
      <c r="B30" s="10" t="s">
        <v>48</v>
      </c>
      <c r="C30" s="11" t="s">
        <v>9</v>
      </c>
      <c r="D30" s="19">
        <v>30.76</v>
      </c>
      <c r="E30" s="8">
        <f>10.44+7.42</f>
        <v>17.86</v>
      </c>
      <c r="F30" s="9">
        <f t="shared" si="0"/>
        <v>549.3736</v>
      </c>
    </row>
    <row r="31" spans="1:6" ht="30">
      <c r="A31" s="11" t="s">
        <v>49</v>
      </c>
      <c r="B31" s="10" t="s">
        <v>50</v>
      </c>
      <c r="C31" s="11" t="s">
        <v>33</v>
      </c>
      <c r="D31" s="19">
        <v>8.72</v>
      </c>
      <c r="E31" s="13">
        <f>36+9</f>
        <v>45</v>
      </c>
      <c r="F31" s="9">
        <f t="shared" si="0"/>
        <v>392.40000000000003</v>
      </c>
    </row>
    <row r="32" spans="1:6" ht="30">
      <c r="A32" s="11" t="s">
        <v>51</v>
      </c>
      <c r="B32" s="10" t="s">
        <v>52</v>
      </c>
      <c r="C32" s="11" t="s">
        <v>9</v>
      </c>
      <c r="D32" s="19">
        <v>6.05</v>
      </c>
      <c r="E32" s="8">
        <f>30.58+20.75</f>
        <v>51.33</v>
      </c>
      <c r="F32" s="9">
        <f t="shared" si="0"/>
        <v>310.5465</v>
      </c>
    </row>
    <row r="33" spans="1:6" ht="15">
      <c r="A33" s="11" t="s">
        <v>53</v>
      </c>
      <c r="B33" s="10" t="s">
        <v>54</v>
      </c>
      <c r="C33" s="11" t="s">
        <v>30</v>
      </c>
      <c r="D33" s="19">
        <v>1.83</v>
      </c>
      <c r="E33" s="8">
        <v>38.5</v>
      </c>
      <c r="F33" s="9">
        <f t="shared" si="0"/>
        <v>70.455</v>
      </c>
    </row>
    <row r="34" spans="1:6" ht="15">
      <c r="A34" s="11" t="s">
        <v>55</v>
      </c>
      <c r="B34" s="10" t="s">
        <v>56</v>
      </c>
      <c r="C34" s="11" t="s">
        <v>33</v>
      </c>
      <c r="D34" s="19">
        <v>11.75</v>
      </c>
      <c r="E34" s="8">
        <v>6</v>
      </c>
      <c r="F34" s="9">
        <f t="shared" si="0"/>
        <v>70.5</v>
      </c>
    </row>
    <row r="35" spans="1:6" ht="15">
      <c r="A35" s="29" t="s">
        <v>57</v>
      </c>
      <c r="B35" s="26" t="s">
        <v>7</v>
      </c>
      <c r="C35" s="22"/>
      <c r="D35" s="45"/>
      <c r="E35" s="6"/>
      <c r="F35" s="7"/>
    </row>
    <row r="36" spans="1:6" ht="15">
      <c r="A36" s="11" t="s">
        <v>58</v>
      </c>
      <c r="B36" s="10" t="s">
        <v>59</v>
      </c>
      <c r="C36" s="11" t="s">
        <v>9</v>
      </c>
      <c r="D36" s="19">
        <v>9.06</v>
      </c>
      <c r="E36" s="8">
        <v>89.27</v>
      </c>
      <c r="F36" s="9">
        <f t="shared" si="0"/>
        <v>808.7862</v>
      </c>
    </row>
    <row r="37" spans="1:6" ht="15">
      <c r="A37" s="11" t="s">
        <v>60</v>
      </c>
      <c r="B37" s="10" t="s">
        <v>61</v>
      </c>
      <c r="C37" s="11" t="s">
        <v>33</v>
      </c>
      <c r="D37" s="19">
        <v>8.72</v>
      </c>
      <c r="E37" s="8">
        <f>6+2</f>
        <v>8</v>
      </c>
      <c r="F37" s="9">
        <f t="shared" si="0"/>
        <v>69.76</v>
      </c>
    </row>
    <row r="38" spans="1:6" ht="15">
      <c r="A38" s="11" t="s">
        <v>62</v>
      </c>
      <c r="B38" s="10" t="s">
        <v>63</v>
      </c>
      <c r="C38" s="11" t="s">
        <v>9</v>
      </c>
      <c r="D38" s="19">
        <v>23.21</v>
      </c>
      <c r="E38" s="8">
        <v>20</v>
      </c>
      <c r="F38" s="9">
        <f t="shared" si="0"/>
        <v>464.20000000000005</v>
      </c>
    </row>
    <row r="39" spans="1:6" ht="15">
      <c r="A39" s="11" t="s">
        <v>64</v>
      </c>
      <c r="B39" s="10" t="s">
        <v>65</v>
      </c>
      <c r="C39" s="11" t="s">
        <v>9</v>
      </c>
      <c r="D39" s="19">
        <v>23.21</v>
      </c>
      <c r="E39" s="8">
        <v>131.85</v>
      </c>
      <c r="F39" s="9">
        <f t="shared" si="0"/>
        <v>3060.2385</v>
      </c>
    </row>
    <row r="40" spans="1:6" ht="15">
      <c r="A40" s="11" t="s">
        <v>66</v>
      </c>
      <c r="B40" s="10" t="s">
        <v>67</v>
      </c>
      <c r="C40" s="11" t="s">
        <v>33</v>
      </c>
      <c r="D40" s="19">
        <v>16.28</v>
      </c>
      <c r="E40" s="8">
        <v>28</v>
      </c>
      <c r="F40" s="9">
        <f t="shared" si="0"/>
        <v>455.84000000000003</v>
      </c>
    </row>
    <row r="41" spans="1:6" ht="30">
      <c r="A41" s="11" t="s">
        <v>68</v>
      </c>
      <c r="B41" s="10" t="s">
        <v>69</v>
      </c>
      <c r="C41" s="11" t="s">
        <v>9</v>
      </c>
      <c r="D41" s="19">
        <v>8.47</v>
      </c>
      <c r="E41" s="8">
        <v>4.4</v>
      </c>
      <c r="F41" s="9">
        <f t="shared" si="0"/>
        <v>37.26800000000001</v>
      </c>
    </row>
    <row r="42" spans="1:6" ht="15">
      <c r="A42" s="113" t="s">
        <v>566</v>
      </c>
      <c r="B42" s="114"/>
      <c r="C42" s="114"/>
      <c r="D42" s="114"/>
      <c r="E42" s="115"/>
      <c r="F42" s="12">
        <f>SUM(F11:F41)</f>
        <v>15952.602800000002</v>
      </c>
    </row>
    <row r="43" spans="1:6" ht="15">
      <c r="A43" s="20" t="s">
        <v>70</v>
      </c>
      <c r="B43" s="25" t="s">
        <v>71</v>
      </c>
      <c r="C43" s="21"/>
      <c r="D43" s="44"/>
      <c r="E43" s="3"/>
      <c r="F43" s="4"/>
    </row>
    <row r="44" spans="1:6" ht="15">
      <c r="A44" s="29" t="s">
        <v>72</v>
      </c>
      <c r="B44" s="26" t="s">
        <v>73</v>
      </c>
      <c r="C44" s="22"/>
      <c r="D44" s="45"/>
      <c r="E44" s="6"/>
      <c r="F44" s="7"/>
    </row>
    <row r="45" spans="1:7" ht="30">
      <c r="A45" s="11" t="s">
        <v>74</v>
      </c>
      <c r="B45" s="10" t="s">
        <v>75</v>
      </c>
      <c r="C45" s="11" t="s">
        <v>9</v>
      </c>
      <c r="D45" s="19">
        <v>186.19</v>
      </c>
      <c r="E45" s="8">
        <v>8</v>
      </c>
      <c r="F45" s="9">
        <f aca="true" t="shared" si="1" ref="F45:F53">E45*D45</f>
        <v>1489.52</v>
      </c>
      <c r="G45" s="76"/>
    </row>
    <row r="46" spans="1:6" ht="45">
      <c r="A46" s="11" t="s">
        <v>76</v>
      </c>
      <c r="B46" s="10" t="s">
        <v>77</v>
      </c>
      <c r="C46" s="11" t="s">
        <v>9</v>
      </c>
      <c r="D46" s="19">
        <v>8.72</v>
      </c>
      <c r="E46" s="8">
        <v>233.05</v>
      </c>
      <c r="F46" s="9">
        <f t="shared" si="1"/>
        <v>2032.1960000000001</v>
      </c>
    </row>
    <row r="47" spans="1:8" ht="30">
      <c r="A47" s="11" t="s">
        <v>703</v>
      </c>
      <c r="B47" s="10" t="s">
        <v>704</v>
      </c>
      <c r="C47" s="11" t="s">
        <v>33</v>
      </c>
      <c r="D47" s="87">
        <v>916.3</v>
      </c>
      <c r="E47" s="8">
        <v>3</v>
      </c>
      <c r="F47" s="9">
        <f t="shared" si="1"/>
        <v>2748.8999999999996</v>
      </c>
      <c r="H47" s="76"/>
    </row>
    <row r="48" spans="1:8" ht="30">
      <c r="A48" s="30" t="s">
        <v>724</v>
      </c>
      <c r="B48" s="10" t="s">
        <v>78</v>
      </c>
      <c r="C48" s="11" t="s">
        <v>30</v>
      </c>
      <c r="D48" s="19">
        <v>8.12</v>
      </c>
      <c r="E48" s="8">
        <v>8</v>
      </c>
      <c r="F48" s="9">
        <f t="shared" si="1"/>
        <v>64.96</v>
      </c>
      <c r="H48" s="76"/>
    </row>
    <row r="49" spans="1:8" ht="60">
      <c r="A49" s="30" t="s">
        <v>754</v>
      </c>
      <c r="B49" s="10" t="s">
        <v>79</v>
      </c>
      <c r="C49" s="11" t="s">
        <v>9</v>
      </c>
      <c r="D49" s="19">
        <v>22.41</v>
      </c>
      <c r="E49" s="8">
        <v>233.05</v>
      </c>
      <c r="F49" s="9">
        <f t="shared" si="1"/>
        <v>5222.650500000001</v>
      </c>
      <c r="H49" s="76"/>
    </row>
    <row r="50" spans="1:6" ht="75">
      <c r="A50" s="11" t="s">
        <v>631</v>
      </c>
      <c r="B50" s="10" t="s">
        <v>632</v>
      </c>
      <c r="C50" s="11" t="s">
        <v>30</v>
      </c>
      <c r="D50" s="19">
        <v>142.31</v>
      </c>
      <c r="E50" s="8">
        <v>15</v>
      </c>
      <c r="F50" s="9">
        <f t="shared" si="1"/>
        <v>2134.65</v>
      </c>
    </row>
    <row r="51" spans="1:8" ht="90">
      <c r="A51" s="11" t="s">
        <v>705</v>
      </c>
      <c r="B51" s="10" t="s">
        <v>706</v>
      </c>
      <c r="C51" s="11" t="s">
        <v>80</v>
      </c>
      <c r="D51" s="87">
        <v>712.1</v>
      </c>
      <c r="E51" s="8">
        <v>6</v>
      </c>
      <c r="F51" s="9">
        <f t="shared" si="1"/>
        <v>4272.6</v>
      </c>
      <c r="H51" s="76"/>
    </row>
    <row r="52" spans="1:8" ht="75">
      <c r="A52" s="11" t="s">
        <v>707</v>
      </c>
      <c r="B52" s="10" t="s">
        <v>708</v>
      </c>
      <c r="C52" s="11" t="s">
        <v>80</v>
      </c>
      <c r="D52" s="87">
        <v>688.53</v>
      </c>
      <c r="E52" s="8">
        <v>6</v>
      </c>
      <c r="F52" s="9">
        <f t="shared" si="1"/>
        <v>4131.18</v>
      </c>
      <c r="H52" s="76"/>
    </row>
    <row r="53" spans="1:8" ht="75">
      <c r="A53" s="11" t="s">
        <v>709</v>
      </c>
      <c r="B53" s="10" t="s">
        <v>710</v>
      </c>
      <c r="C53" s="11" t="s">
        <v>80</v>
      </c>
      <c r="D53" s="87">
        <v>763.58</v>
      </c>
      <c r="E53" s="8">
        <v>6</v>
      </c>
      <c r="F53" s="9">
        <f t="shared" si="1"/>
        <v>4581.4800000000005</v>
      </c>
      <c r="H53" s="76"/>
    </row>
    <row r="54" spans="1:6" ht="57">
      <c r="A54" s="29" t="s">
        <v>81</v>
      </c>
      <c r="B54" s="26" t="s">
        <v>82</v>
      </c>
      <c r="C54" s="22"/>
      <c r="D54" s="45"/>
      <c r="E54" s="6"/>
      <c r="F54" s="7"/>
    </row>
    <row r="55" spans="1:6" ht="60">
      <c r="A55" s="11" t="s">
        <v>83</v>
      </c>
      <c r="B55" s="10" t="s">
        <v>84</v>
      </c>
      <c r="C55" s="11" t="s">
        <v>30</v>
      </c>
      <c r="D55" s="19">
        <v>34.2</v>
      </c>
      <c r="E55" s="8">
        <v>15</v>
      </c>
      <c r="F55" s="9">
        <f>E55*D55</f>
        <v>513</v>
      </c>
    </row>
    <row r="56" spans="1:6" ht="60">
      <c r="A56" s="11" t="s">
        <v>85</v>
      </c>
      <c r="B56" s="10" t="s">
        <v>86</v>
      </c>
      <c r="C56" s="11" t="s">
        <v>30</v>
      </c>
      <c r="D56" s="19">
        <v>438.4</v>
      </c>
      <c r="E56" s="8">
        <v>5</v>
      </c>
      <c r="F56" s="9">
        <f>E56*D56</f>
        <v>2192</v>
      </c>
    </row>
    <row r="57" spans="1:6" ht="45">
      <c r="A57" s="11" t="s">
        <v>87</v>
      </c>
      <c r="B57" s="10" t="s">
        <v>88</v>
      </c>
      <c r="C57" s="11" t="s">
        <v>30</v>
      </c>
      <c r="D57" s="19">
        <v>296.86</v>
      </c>
      <c r="E57" s="8">
        <v>10</v>
      </c>
      <c r="F57" s="9">
        <f>E57*D57</f>
        <v>2968.6000000000004</v>
      </c>
    </row>
    <row r="58" spans="1:6" ht="15">
      <c r="A58" s="113" t="s">
        <v>567</v>
      </c>
      <c r="B58" s="114"/>
      <c r="C58" s="114"/>
      <c r="D58" s="114"/>
      <c r="E58" s="115"/>
      <c r="F58" s="12">
        <f>SUM(F45:F57)</f>
        <v>32351.7365</v>
      </c>
    </row>
    <row r="59" spans="1:6" ht="15">
      <c r="A59" s="20" t="s">
        <v>89</v>
      </c>
      <c r="B59" s="25" t="s">
        <v>90</v>
      </c>
      <c r="C59" s="21"/>
      <c r="D59" s="44"/>
      <c r="E59" s="3"/>
      <c r="F59" s="4"/>
    </row>
    <row r="60" spans="1:6" ht="15">
      <c r="A60" s="29" t="s">
        <v>91</v>
      </c>
      <c r="B60" s="26" t="s">
        <v>92</v>
      </c>
      <c r="C60" s="22"/>
      <c r="D60" s="45"/>
      <c r="E60" s="6"/>
      <c r="F60" s="7"/>
    </row>
    <row r="61" spans="1:6" ht="30">
      <c r="A61" s="11" t="s">
        <v>93</v>
      </c>
      <c r="B61" s="10" t="s">
        <v>94</v>
      </c>
      <c r="C61" s="11" t="s">
        <v>21</v>
      </c>
      <c r="D61" s="19">
        <v>45.19</v>
      </c>
      <c r="E61" s="8">
        <f>5.56+3.99</f>
        <v>9.55</v>
      </c>
      <c r="F61" s="9">
        <f>E61*D61</f>
        <v>431.5645</v>
      </c>
    </row>
    <row r="62" spans="1:6" ht="15">
      <c r="A62" s="29" t="s">
        <v>95</v>
      </c>
      <c r="B62" s="26" t="s">
        <v>96</v>
      </c>
      <c r="C62" s="22"/>
      <c r="D62" s="45"/>
      <c r="E62" s="6"/>
      <c r="F62" s="7"/>
    </row>
    <row r="63" spans="1:6" ht="30">
      <c r="A63" s="11" t="s">
        <v>97</v>
      </c>
      <c r="B63" s="10" t="s">
        <v>98</v>
      </c>
      <c r="C63" s="11" t="s">
        <v>21</v>
      </c>
      <c r="D63" s="19">
        <v>48.66</v>
      </c>
      <c r="E63" s="8">
        <v>3.99</v>
      </c>
      <c r="F63" s="9">
        <f>E63*D63</f>
        <v>194.1534</v>
      </c>
    </row>
    <row r="64" spans="1:6" ht="15">
      <c r="A64" s="29" t="s">
        <v>99</v>
      </c>
      <c r="B64" s="26" t="s">
        <v>100</v>
      </c>
      <c r="C64" s="22"/>
      <c r="D64" s="45"/>
      <c r="E64" s="6"/>
      <c r="F64" s="7"/>
    </row>
    <row r="65" spans="1:6" ht="60">
      <c r="A65" s="11" t="s">
        <v>101</v>
      </c>
      <c r="B65" s="10" t="s">
        <v>102</v>
      </c>
      <c r="C65" s="11" t="s">
        <v>21</v>
      </c>
      <c r="D65" s="19">
        <v>55.88</v>
      </c>
      <c r="E65" s="8">
        <f>87.6+10+8</f>
        <v>105.6</v>
      </c>
      <c r="F65" s="9">
        <f aca="true" t="shared" si="2" ref="F65:F85">E65*D65</f>
        <v>5900.928</v>
      </c>
    </row>
    <row r="66" spans="1:6" ht="45">
      <c r="A66" s="11" t="s">
        <v>103</v>
      </c>
      <c r="B66" s="10" t="s">
        <v>104</v>
      </c>
      <c r="C66" s="11" t="s">
        <v>33</v>
      </c>
      <c r="D66" s="19">
        <v>13.9</v>
      </c>
      <c r="E66" s="8">
        <v>80</v>
      </c>
      <c r="F66" s="9">
        <f t="shared" si="2"/>
        <v>1112</v>
      </c>
    </row>
    <row r="67" spans="1:6" ht="15">
      <c r="A67" s="113" t="s">
        <v>568</v>
      </c>
      <c r="B67" s="114"/>
      <c r="C67" s="114"/>
      <c r="D67" s="114"/>
      <c r="E67" s="115"/>
      <c r="F67" s="12">
        <f>SUM(F61:F66)</f>
        <v>7638.6458999999995</v>
      </c>
    </row>
    <row r="68" spans="1:6" ht="15">
      <c r="A68" s="20" t="s">
        <v>105</v>
      </c>
      <c r="B68" s="25" t="s">
        <v>106</v>
      </c>
      <c r="C68" s="21"/>
      <c r="D68" s="44"/>
      <c r="E68" s="3"/>
      <c r="F68" s="4"/>
    </row>
    <row r="69" spans="1:6" ht="15">
      <c r="A69" s="29" t="s">
        <v>107</v>
      </c>
      <c r="B69" s="26" t="s">
        <v>108</v>
      </c>
      <c r="C69" s="22"/>
      <c r="D69" s="45"/>
      <c r="E69" s="6"/>
      <c r="F69" s="7"/>
    </row>
    <row r="70" spans="1:6" ht="45">
      <c r="A70" s="11" t="s">
        <v>113</v>
      </c>
      <c r="B70" s="10" t="s">
        <v>114</v>
      </c>
      <c r="C70" s="11" t="s">
        <v>9</v>
      </c>
      <c r="D70" s="19">
        <v>301.87</v>
      </c>
      <c r="E70" s="8">
        <v>6</v>
      </c>
      <c r="F70" s="9">
        <f>E70*D70</f>
        <v>1811.22</v>
      </c>
    </row>
    <row r="71" spans="1:6" ht="15">
      <c r="A71" s="29" t="s">
        <v>115</v>
      </c>
      <c r="B71" s="26" t="s">
        <v>116</v>
      </c>
      <c r="C71" s="22"/>
      <c r="D71" s="45"/>
      <c r="E71" s="6"/>
      <c r="F71" s="7"/>
    </row>
    <row r="72" spans="1:6" ht="30">
      <c r="A72" s="11" t="s">
        <v>117</v>
      </c>
      <c r="B72" s="10" t="s">
        <v>109</v>
      </c>
      <c r="C72" s="11" t="s">
        <v>21</v>
      </c>
      <c r="D72" s="19">
        <v>615.7</v>
      </c>
      <c r="E72" s="8">
        <v>1</v>
      </c>
      <c r="F72" s="9">
        <f t="shared" si="2"/>
        <v>615.7</v>
      </c>
    </row>
    <row r="73" spans="1:6" ht="30">
      <c r="A73" s="11" t="s">
        <v>118</v>
      </c>
      <c r="B73" s="10" t="s">
        <v>110</v>
      </c>
      <c r="C73" s="11" t="s">
        <v>111</v>
      </c>
      <c r="D73" s="19">
        <v>6.9</v>
      </c>
      <c r="E73" s="8">
        <v>60</v>
      </c>
      <c r="F73" s="9">
        <f t="shared" si="2"/>
        <v>414</v>
      </c>
    </row>
    <row r="74" spans="1:6" ht="30">
      <c r="A74" s="11" t="s">
        <v>119</v>
      </c>
      <c r="B74" s="10" t="s">
        <v>112</v>
      </c>
      <c r="C74" s="11" t="s">
        <v>111</v>
      </c>
      <c r="D74" s="19">
        <v>7.02</v>
      </c>
      <c r="E74" s="8">
        <v>10</v>
      </c>
      <c r="F74" s="9">
        <f t="shared" si="2"/>
        <v>70.19999999999999</v>
      </c>
    </row>
    <row r="75" spans="1:6" ht="75">
      <c r="A75" s="11" t="s">
        <v>120</v>
      </c>
      <c r="B75" s="10" t="s">
        <v>121</v>
      </c>
      <c r="C75" s="11" t="s">
        <v>9</v>
      </c>
      <c r="D75" s="19">
        <v>162.53</v>
      </c>
      <c r="E75" s="8">
        <v>6</v>
      </c>
      <c r="F75" s="9">
        <f t="shared" si="2"/>
        <v>975.1800000000001</v>
      </c>
    </row>
    <row r="76" spans="1:6" ht="15">
      <c r="A76" s="29" t="s">
        <v>122</v>
      </c>
      <c r="B76" s="26" t="s">
        <v>123</v>
      </c>
      <c r="C76" s="22"/>
      <c r="D76" s="45"/>
      <c r="E76" s="6"/>
      <c r="F76" s="7"/>
    </row>
    <row r="77" spans="1:6" ht="30">
      <c r="A77" s="11" t="s">
        <v>124</v>
      </c>
      <c r="B77" s="10" t="s">
        <v>125</v>
      </c>
      <c r="C77" s="11" t="s">
        <v>9</v>
      </c>
      <c r="D77" s="19">
        <v>103.75</v>
      </c>
      <c r="E77" s="8">
        <v>5</v>
      </c>
      <c r="F77" s="9">
        <f t="shared" si="2"/>
        <v>518.75</v>
      </c>
    </row>
    <row r="78" spans="1:6" ht="15">
      <c r="A78" s="29" t="s">
        <v>126</v>
      </c>
      <c r="B78" s="26" t="s">
        <v>127</v>
      </c>
      <c r="C78" s="22"/>
      <c r="D78" s="45"/>
      <c r="E78" s="6"/>
      <c r="F78" s="7"/>
    </row>
    <row r="79" spans="1:6" ht="30">
      <c r="A79" s="11" t="s">
        <v>128</v>
      </c>
      <c r="B79" s="10" t="s">
        <v>129</v>
      </c>
      <c r="C79" s="11" t="s">
        <v>9</v>
      </c>
      <c r="D79" s="19">
        <v>117.73</v>
      </c>
      <c r="E79" s="8">
        <v>10</v>
      </c>
      <c r="F79" s="9">
        <f t="shared" si="2"/>
        <v>1177.3</v>
      </c>
    </row>
    <row r="80" spans="1:6" ht="30">
      <c r="A80" s="11" t="s">
        <v>130</v>
      </c>
      <c r="B80" s="10" t="s">
        <v>131</v>
      </c>
      <c r="C80" s="11" t="s">
        <v>9</v>
      </c>
      <c r="D80" s="19">
        <v>69.51</v>
      </c>
      <c r="E80" s="8">
        <v>10</v>
      </c>
      <c r="F80" s="9">
        <f t="shared" si="2"/>
        <v>695.1</v>
      </c>
    </row>
    <row r="81" spans="1:6" ht="45">
      <c r="A81" s="11" t="s">
        <v>132</v>
      </c>
      <c r="B81" s="10" t="s">
        <v>133</v>
      </c>
      <c r="C81" s="11" t="s">
        <v>9</v>
      </c>
      <c r="D81" s="19">
        <v>20.85</v>
      </c>
      <c r="E81" s="8">
        <v>10</v>
      </c>
      <c r="F81" s="9">
        <f t="shared" si="2"/>
        <v>208.5</v>
      </c>
    </row>
    <row r="82" spans="1:6" ht="30">
      <c r="A82" s="11" t="s">
        <v>134</v>
      </c>
      <c r="B82" s="10" t="s">
        <v>135</v>
      </c>
      <c r="C82" s="11" t="s">
        <v>9</v>
      </c>
      <c r="D82" s="19">
        <v>61.01</v>
      </c>
      <c r="E82" s="8">
        <v>5</v>
      </c>
      <c r="F82" s="9">
        <f t="shared" si="2"/>
        <v>305.05</v>
      </c>
    </row>
    <row r="83" spans="1:6" ht="45">
      <c r="A83" s="11" t="s">
        <v>136</v>
      </c>
      <c r="B83" s="10" t="s">
        <v>137</v>
      </c>
      <c r="C83" s="11" t="s">
        <v>9</v>
      </c>
      <c r="D83" s="19">
        <v>395.78</v>
      </c>
      <c r="E83" s="8">
        <v>10</v>
      </c>
      <c r="F83" s="9">
        <f t="shared" si="2"/>
        <v>3957.7999999999997</v>
      </c>
    </row>
    <row r="84" spans="1:6" ht="30">
      <c r="A84" s="11" t="s">
        <v>138</v>
      </c>
      <c r="B84" s="10" t="s">
        <v>139</v>
      </c>
      <c r="C84" s="11" t="s">
        <v>9</v>
      </c>
      <c r="D84" s="19">
        <v>11.77</v>
      </c>
      <c r="E84" s="8">
        <v>5</v>
      </c>
      <c r="F84" s="9">
        <f t="shared" si="2"/>
        <v>58.849999999999994</v>
      </c>
    </row>
    <row r="85" spans="1:6" ht="30">
      <c r="A85" s="11" t="s">
        <v>140</v>
      </c>
      <c r="B85" s="10" t="s">
        <v>141</v>
      </c>
      <c r="C85" s="11" t="s">
        <v>9</v>
      </c>
      <c r="D85" s="19">
        <v>58.64</v>
      </c>
      <c r="E85" s="8">
        <v>4</v>
      </c>
      <c r="F85" s="9">
        <f t="shared" si="2"/>
        <v>234.56</v>
      </c>
    </row>
    <row r="86" spans="1:6" ht="15">
      <c r="A86" s="113" t="s">
        <v>580</v>
      </c>
      <c r="B86" s="114"/>
      <c r="C86" s="114"/>
      <c r="D86" s="114"/>
      <c r="E86" s="115"/>
      <c r="F86" s="12">
        <f>SUM(F70:F85)</f>
        <v>11042.210000000001</v>
      </c>
    </row>
    <row r="87" spans="1:6" ht="15">
      <c r="A87" s="20" t="s">
        <v>142</v>
      </c>
      <c r="B87" s="25" t="s">
        <v>143</v>
      </c>
      <c r="C87" s="21"/>
      <c r="D87" s="44"/>
      <c r="E87" s="3"/>
      <c r="F87" s="4"/>
    </row>
    <row r="88" spans="1:6" ht="15">
      <c r="A88" s="29" t="s">
        <v>144</v>
      </c>
      <c r="B88" s="26" t="s">
        <v>145</v>
      </c>
      <c r="C88" s="22"/>
      <c r="D88" s="45"/>
      <c r="E88" s="6"/>
      <c r="F88" s="7"/>
    </row>
    <row r="89" spans="1:8" ht="60">
      <c r="A89" s="11" t="s">
        <v>146</v>
      </c>
      <c r="B89" s="10" t="s">
        <v>147</v>
      </c>
      <c r="C89" s="11" t="s">
        <v>9</v>
      </c>
      <c r="D89" s="19">
        <v>109.47</v>
      </c>
      <c r="E89" s="8">
        <f>7.72+9.06+8.96+7.86+19.95+9.85+8.1+2</f>
        <v>73.5</v>
      </c>
      <c r="F89" s="9">
        <f aca="true" t="shared" si="3" ref="F89:F103">E89*D89</f>
        <v>8046.045</v>
      </c>
      <c r="H89" s="2">
        <f>3.2*2.8</f>
        <v>8.959999999999999</v>
      </c>
    </row>
    <row r="90" spans="1:6" ht="30">
      <c r="A90" s="11" t="s">
        <v>148</v>
      </c>
      <c r="B90" s="10" t="s">
        <v>149</v>
      </c>
      <c r="C90" s="11" t="s">
        <v>33</v>
      </c>
      <c r="D90" s="19">
        <v>330.52</v>
      </c>
      <c r="E90" s="8">
        <v>6</v>
      </c>
      <c r="F90" s="9">
        <f t="shared" si="3"/>
        <v>1983.12</v>
      </c>
    </row>
    <row r="91" spans="1:6" ht="45">
      <c r="A91" s="11" t="s">
        <v>150</v>
      </c>
      <c r="B91" s="10" t="s">
        <v>151</v>
      </c>
      <c r="C91" s="11" t="s">
        <v>9</v>
      </c>
      <c r="D91" s="19">
        <v>473.75</v>
      </c>
      <c r="E91" s="8">
        <f>8.91+9.36+0.65</f>
        <v>18.919999999999998</v>
      </c>
      <c r="F91" s="9">
        <f t="shared" si="3"/>
        <v>8963.349999999999</v>
      </c>
    </row>
    <row r="92" spans="1:6" ht="15">
      <c r="A92" s="29" t="s">
        <v>152</v>
      </c>
      <c r="B92" s="26" t="s">
        <v>153</v>
      </c>
      <c r="C92" s="22"/>
      <c r="D92" s="45"/>
      <c r="E92" s="6"/>
      <c r="F92" s="7"/>
    </row>
    <row r="93" spans="1:6" ht="30">
      <c r="A93" s="11" t="s">
        <v>154</v>
      </c>
      <c r="B93" s="10" t="s">
        <v>155</v>
      </c>
      <c r="C93" s="11" t="s">
        <v>30</v>
      </c>
      <c r="D93" s="19">
        <v>9.79</v>
      </c>
      <c r="E93" s="8">
        <f>3.8+4+1.2+3.65+3.5+3.95+5.6+3.95+6.1+4.2+4.95+2.8+9.6+1+2.08+6.1</f>
        <v>66.47999999999999</v>
      </c>
      <c r="F93" s="9">
        <f t="shared" si="3"/>
        <v>650.8391999999999</v>
      </c>
    </row>
    <row r="94" spans="1:6" ht="28.5">
      <c r="A94" s="29" t="s">
        <v>156</v>
      </c>
      <c r="B94" s="26" t="s">
        <v>157</v>
      </c>
      <c r="C94" s="22"/>
      <c r="D94" s="45"/>
      <c r="E94" s="6"/>
      <c r="F94" s="7"/>
    </row>
    <row r="95" spans="1:6" ht="75">
      <c r="A95" s="11" t="s">
        <v>158</v>
      </c>
      <c r="B95" s="10" t="s">
        <v>159</v>
      </c>
      <c r="C95" s="11" t="s">
        <v>9</v>
      </c>
      <c r="D95" s="19">
        <v>55.8</v>
      </c>
      <c r="E95" s="8">
        <f>187.58+5</f>
        <v>192.58</v>
      </c>
      <c r="F95" s="9">
        <f t="shared" si="3"/>
        <v>10745.964</v>
      </c>
    </row>
    <row r="96" spans="1:6" ht="15">
      <c r="A96" s="113" t="s">
        <v>569</v>
      </c>
      <c r="B96" s="114"/>
      <c r="C96" s="114"/>
      <c r="D96" s="114"/>
      <c r="E96" s="115"/>
      <c r="F96" s="12">
        <f>SUM(F88:F95)</f>
        <v>30389.318199999998</v>
      </c>
    </row>
    <row r="97" spans="1:6" ht="15">
      <c r="A97" s="20" t="s">
        <v>160</v>
      </c>
      <c r="B97" s="25" t="s">
        <v>161</v>
      </c>
      <c r="C97" s="21"/>
      <c r="D97" s="44"/>
      <c r="E97" s="3"/>
      <c r="F97" s="4"/>
    </row>
    <row r="98" spans="1:6" ht="15">
      <c r="A98" s="29" t="s">
        <v>162</v>
      </c>
      <c r="B98" s="26" t="s">
        <v>163</v>
      </c>
      <c r="C98" s="22"/>
      <c r="D98" s="45"/>
      <c r="E98" s="6"/>
      <c r="F98" s="7"/>
    </row>
    <row r="99" spans="1:6" ht="45">
      <c r="A99" s="11" t="s">
        <v>164</v>
      </c>
      <c r="B99" s="10" t="s">
        <v>165</v>
      </c>
      <c r="C99" s="11" t="s">
        <v>33</v>
      </c>
      <c r="D99" s="19">
        <v>243.04</v>
      </c>
      <c r="E99" s="8">
        <v>2</v>
      </c>
      <c r="F99" s="9">
        <f t="shared" si="3"/>
        <v>486.08</v>
      </c>
    </row>
    <row r="100" spans="1:6" ht="45">
      <c r="A100" s="11" t="s">
        <v>166</v>
      </c>
      <c r="B100" s="10" t="s">
        <v>167</v>
      </c>
      <c r="C100" s="11" t="s">
        <v>33</v>
      </c>
      <c r="D100" s="19">
        <v>243.04</v>
      </c>
      <c r="E100" s="8">
        <v>7</v>
      </c>
      <c r="F100" s="9">
        <f t="shared" si="3"/>
        <v>1701.28</v>
      </c>
    </row>
    <row r="101" spans="1:6" ht="85.5">
      <c r="A101" s="29" t="s">
        <v>168</v>
      </c>
      <c r="B101" s="26" t="s">
        <v>169</v>
      </c>
      <c r="C101" s="22"/>
      <c r="D101" s="45"/>
      <c r="E101" s="6"/>
      <c r="F101" s="7"/>
    </row>
    <row r="102" spans="1:6" ht="75">
      <c r="A102" s="11" t="s">
        <v>170</v>
      </c>
      <c r="B102" s="10" t="s">
        <v>171</v>
      </c>
      <c r="C102" s="11" t="s">
        <v>33</v>
      </c>
      <c r="D102" s="19">
        <v>798.63</v>
      </c>
      <c r="E102" s="8">
        <v>2</v>
      </c>
      <c r="F102" s="9">
        <f t="shared" si="3"/>
        <v>1597.26</v>
      </c>
    </row>
    <row r="103" spans="1:6" ht="75">
      <c r="A103" s="11" t="s">
        <v>172</v>
      </c>
      <c r="B103" s="10" t="s">
        <v>173</v>
      </c>
      <c r="C103" s="11" t="s">
        <v>33</v>
      </c>
      <c r="D103" s="19">
        <v>830.78</v>
      </c>
      <c r="E103" s="8">
        <v>7</v>
      </c>
      <c r="F103" s="9">
        <f t="shared" si="3"/>
        <v>5815.46</v>
      </c>
    </row>
    <row r="104" spans="1:6" ht="90">
      <c r="A104" s="91" t="s">
        <v>643</v>
      </c>
      <c r="B104" s="81" t="s">
        <v>642</v>
      </c>
      <c r="C104" s="91" t="s">
        <v>33</v>
      </c>
      <c r="D104" s="92">
        <v>1467.02</v>
      </c>
      <c r="E104" s="91">
        <v>2</v>
      </c>
      <c r="F104" s="92">
        <f>E104*D104</f>
        <v>2934.04</v>
      </c>
    </row>
    <row r="105" spans="1:6" ht="15">
      <c r="A105" s="113" t="s">
        <v>579</v>
      </c>
      <c r="B105" s="114"/>
      <c r="C105" s="114"/>
      <c r="D105" s="114"/>
      <c r="E105" s="115"/>
      <c r="F105" s="50">
        <f>SUM(F99:F104)</f>
        <v>12534.119999999999</v>
      </c>
    </row>
    <row r="106" spans="1:6" ht="15">
      <c r="A106" s="20" t="s">
        <v>175</v>
      </c>
      <c r="B106" s="25" t="s">
        <v>176</v>
      </c>
      <c r="C106" s="21"/>
      <c r="D106" s="44"/>
      <c r="E106" s="3"/>
      <c r="F106" s="4"/>
    </row>
    <row r="107" spans="1:6" ht="15">
      <c r="A107" s="29" t="s">
        <v>177</v>
      </c>
      <c r="B107" s="26" t="s">
        <v>178</v>
      </c>
      <c r="C107" s="22"/>
      <c r="D107" s="45"/>
      <c r="E107" s="6"/>
      <c r="F107" s="7"/>
    </row>
    <row r="108" spans="1:6" ht="45">
      <c r="A108" s="11" t="s">
        <v>179</v>
      </c>
      <c r="B108" s="10" t="s">
        <v>180</v>
      </c>
      <c r="C108" s="11" t="s">
        <v>9</v>
      </c>
      <c r="D108" s="19">
        <v>411.09</v>
      </c>
      <c r="E108" s="8">
        <v>14.59</v>
      </c>
      <c r="F108" s="9">
        <f aca="true" t="shared" si="4" ref="F108:F129">E108*D108</f>
        <v>5997.803099999999</v>
      </c>
    </row>
    <row r="109" spans="1:6" ht="45">
      <c r="A109" s="11" t="s">
        <v>181</v>
      </c>
      <c r="B109" s="10" t="s">
        <v>182</v>
      </c>
      <c r="C109" s="11" t="s">
        <v>9</v>
      </c>
      <c r="D109" s="19">
        <v>443.45</v>
      </c>
      <c r="E109" s="8">
        <v>16.39</v>
      </c>
      <c r="F109" s="9">
        <f t="shared" si="4"/>
        <v>7268.1455</v>
      </c>
    </row>
    <row r="110" spans="1:6" ht="45">
      <c r="A110" s="11" t="s">
        <v>183</v>
      </c>
      <c r="B110" s="10" t="s">
        <v>184</v>
      </c>
      <c r="C110" s="11" t="s">
        <v>9</v>
      </c>
      <c r="D110" s="19">
        <v>333.15</v>
      </c>
      <c r="E110" s="8">
        <v>33.63</v>
      </c>
      <c r="F110" s="9">
        <f t="shared" si="4"/>
        <v>11203.8345</v>
      </c>
    </row>
    <row r="111" spans="1:6" ht="45">
      <c r="A111" s="11" t="s">
        <v>185</v>
      </c>
      <c r="B111" s="10" t="s">
        <v>186</v>
      </c>
      <c r="C111" s="11" t="s">
        <v>9</v>
      </c>
      <c r="D111" s="19">
        <v>716.26</v>
      </c>
      <c r="E111" s="8">
        <v>7.02</v>
      </c>
      <c r="F111" s="9">
        <f t="shared" si="4"/>
        <v>5028.1452</v>
      </c>
    </row>
    <row r="112" spans="1:6" ht="15">
      <c r="A112" s="29" t="s">
        <v>187</v>
      </c>
      <c r="B112" s="26" t="s">
        <v>174</v>
      </c>
      <c r="C112" s="22"/>
      <c r="D112" s="45"/>
      <c r="E112" s="6"/>
      <c r="F112" s="7"/>
    </row>
    <row r="113" spans="1:6" ht="20.25" customHeight="1">
      <c r="A113" s="11" t="s">
        <v>188</v>
      </c>
      <c r="B113" s="10" t="s">
        <v>189</v>
      </c>
      <c r="C113" s="11" t="s">
        <v>9</v>
      </c>
      <c r="D113" s="19">
        <v>20.85</v>
      </c>
      <c r="E113" s="8">
        <v>25.5</v>
      </c>
      <c r="F113" s="9">
        <f t="shared" si="4"/>
        <v>531.6750000000001</v>
      </c>
    </row>
    <row r="114" spans="1:6" ht="15">
      <c r="A114" s="113" t="s">
        <v>578</v>
      </c>
      <c r="B114" s="114"/>
      <c r="C114" s="114"/>
      <c r="D114" s="114"/>
      <c r="E114" s="115"/>
      <c r="F114" s="12">
        <f>SUM(F108:F113)</f>
        <v>30029.6033</v>
      </c>
    </row>
    <row r="115" spans="1:6" ht="15">
      <c r="A115" s="20" t="s">
        <v>190</v>
      </c>
      <c r="B115" s="25" t="s">
        <v>191</v>
      </c>
      <c r="C115" s="21"/>
      <c r="D115" s="44"/>
      <c r="E115" s="3"/>
      <c r="F115" s="4"/>
    </row>
    <row r="116" spans="1:6" ht="15">
      <c r="A116" s="29" t="s">
        <v>192</v>
      </c>
      <c r="B116" s="26" t="s">
        <v>193</v>
      </c>
      <c r="C116" s="22"/>
      <c r="D116" s="45"/>
      <c r="E116" s="6"/>
      <c r="F116" s="7"/>
    </row>
    <row r="117" spans="1:6" ht="15">
      <c r="A117" s="11" t="s">
        <v>194</v>
      </c>
      <c r="B117" s="10" t="s">
        <v>195</v>
      </c>
      <c r="C117" s="11" t="s">
        <v>9</v>
      </c>
      <c r="D117" s="19">
        <v>107.34</v>
      </c>
      <c r="E117" s="8">
        <v>65.5</v>
      </c>
      <c r="F117" s="9">
        <f t="shared" si="4"/>
        <v>7030.77</v>
      </c>
    </row>
    <row r="118" spans="1:6" ht="15">
      <c r="A118" s="29" t="s">
        <v>196</v>
      </c>
      <c r="B118" s="26" t="s">
        <v>197</v>
      </c>
      <c r="C118" s="22"/>
      <c r="D118" s="45"/>
      <c r="E118" s="6"/>
      <c r="F118" s="7"/>
    </row>
    <row r="119" spans="1:6" ht="45">
      <c r="A119" s="11" t="s">
        <v>198</v>
      </c>
      <c r="B119" s="10" t="s">
        <v>199</v>
      </c>
      <c r="C119" s="11" t="s">
        <v>9</v>
      </c>
      <c r="D119" s="19">
        <v>652.29</v>
      </c>
      <c r="E119" s="8">
        <f>0.54+0.54+1.35+1.35+0.45+0.45</f>
        <v>4.680000000000001</v>
      </c>
      <c r="F119" s="9">
        <f t="shared" si="4"/>
        <v>3052.7172</v>
      </c>
    </row>
    <row r="120" spans="1:6" ht="105">
      <c r="A120" s="95" t="s">
        <v>641</v>
      </c>
      <c r="B120" s="96" t="s">
        <v>644</v>
      </c>
      <c r="C120" s="95" t="s">
        <v>33</v>
      </c>
      <c r="D120" s="102">
        <v>5465.075</v>
      </c>
      <c r="E120" s="91">
        <v>1</v>
      </c>
      <c r="F120" s="92">
        <f>E120*D120</f>
        <v>5465.075</v>
      </c>
    </row>
    <row r="121" spans="1:6" ht="15">
      <c r="A121" s="113" t="s">
        <v>581</v>
      </c>
      <c r="B121" s="114"/>
      <c r="C121" s="114"/>
      <c r="D121" s="114"/>
      <c r="E121" s="115"/>
      <c r="F121" s="12">
        <f>SUM(F117:F120)</f>
        <v>15548.5622</v>
      </c>
    </row>
    <row r="122" spans="1:6" ht="15">
      <c r="A122" s="20" t="s">
        <v>200</v>
      </c>
      <c r="B122" s="25" t="s">
        <v>201</v>
      </c>
      <c r="C122" s="21"/>
      <c r="D122" s="44"/>
      <c r="E122" s="3"/>
      <c r="F122" s="4"/>
    </row>
    <row r="123" spans="1:6" ht="15">
      <c r="A123" s="29" t="s">
        <v>202</v>
      </c>
      <c r="B123" s="26" t="s">
        <v>203</v>
      </c>
      <c r="C123" s="22"/>
      <c r="D123" s="45"/>
      <c r="E123" s="6"/>
      <c r="F123" s="7"/>
    </row>
    <row r="124" spans="1:6" ht="75">
      <c r="A124" s="11" t="s">
        <v>204</v>
      </c>
      <c r="B124" s="10" t="s">
        <v>205</v>
      </c>
      <c r="C124" s="11" t="s">
        <v>9</v>
      </c>
      <c r="D124" s="19">
        <v>87.66</v>
      </c>
      <c r="E124" s="8">
        <f>93.66+3</f>
        <v>96.66</v>
      </c>
      <c r="F124" s="9">
        <f t="shared" si="4"/>
        <v>8473.2156</v>
      </c>
    </row>
    <row r="125" spans="1:6" ht="15">
      <c r="A125" s="29" t="s">
        <v>206</v>
      </c>
      <c r="B125" s="26" t="s">
        <v>207</v>
      </c>
      <c r="C125" s="22"/>
      <c r="D125" s="45"/>
      <c r="E125" s="6"/>
      <c r="F125" s="7"/>
    </row>
    <row r="126" spans="1:6" ht="30">
      <c r="A126" s="11" t="s">
        <v>208</v>
      </c>
      <c r="B126" s="10" t="s">
        <v>209</v>
      </c>
      <c r="C126" s="11" t="s">
        <v>9</v>
      </c>
      <c r="D126" s="19">
        <v>44.43</v>
      </c>
      <c r="E126" s="8">
        <f>93.66+3</f>
        <v>96.66</v>
      </c>
      <c r="F126" s="9">
        <f t="shared" si="4"/>
        <v>4294.6038</v>
      </c>
    </row>
    <row r="127" spans="1:6" ht="30">
      <c r="A127" s="30" t="s">
        <v>753</v>
      </c>
      <c r="B127" s="10" t="s">
        <v>210</v>
      </c>
      <c r="C127" s="11" t="s">
        <v>30</v>
      </c>
      <c r="D127" s="19">
        <v>67.71</v>
      </c>
      <c r="E127" s="8">
        <f>8.15+0.3</f>
        <v>8.450000000000001</v>
      </c>
      <c r="F127" s="9">
        <f t="shared" si="4"/>
        <v>572.1495</v>
      </c>
    </row>
    <row r="128" spans="1:6" ht="15">
      <c r="A128" s="29" t="s">
        <v>211</v>
      </c>
      <c r="B128" s="26" t="s">
        <v>212</v>
      </c>
      <c r="C128" s="22"/>
      <c r="D128" s="45"/>
      <c r="E128" s="6"/>
      <c r="F128" s="7"/>
    </row>
    <row r="129" spans="1:6" ht="30">
      <c r="A129" s="11" t="s">
        <v>213</v>
      </c>
      <c r="B129" s="10" t="s">
        <v>214</v>
      </c>
      <c r="C129" s="11" t="s">
        <v>30</v>
      </c>
      <c r="D129" s="19">
        <v>127.09</v>
      </c>
      <c r="E129" s="8">
        <f>25.61+3</f>
        <v>28.61</v>
      </c>
      <c r="F129" s="9">
        <f t="shared" si="4"/>
        <v>3636.0449</v>
      </c>
    </row>
    <row r="130" spans="1:6" ht="30">
      <c r="A130" s="11" t="s">
        <v>215</v>
      </c>
      <c r="B130" s="10" t="s">
        <v>216</v>
      </c>
      <c r="C130" s="11" t="s">
        <v>30</v>
      </c>
      <c r="D130" s="19">
        <v>321.56</v>
      </c>
      <c r="E130" s="8">
        <v>22.55</v>
      </c>
      <c r="F130" s="9">
        <f>E130*D130</f>
        <v>7251.178</v>
      </c>
    </row>
    <row r="131" spans="1:6" ht="30">
      <c r="A131" s="95" t="s">
        <v>645</v>
      </c>
      <c r="B131" s="96" t="s">
        <v>663</v>
      </c>
      <c r="C131" s="95" t="s">
        <v>30</v>
      </c>
      <c r="D131" s="102">
        <v>88.55049459666667</v>
      </c>
      <c r="E131" s="91">
        <f>40.05+1</f>
        <v>41.05</v>
      </c>
      <c r="F131" s="92">
        <f>E131*D131</f>
        <v>3634.9978031931664</v>
      </c>
    </row>
    <row r="132" spans="1:6" ht="15">
      <c r="A132" s="29" t="s">
        <v>217</v>
      </c>
      <c r="B132" s="26" t="s">
        <v>218</v>
      </c>
      <c r="C132" s="22"/>
      <c r="D132" s="45"/>
      <c r="E132" s="6"/>
      <c r="F132" s="7"/>
    </row>
    <row r="133" spans="1:6" ht="60">
      <c r="A133" s="11" t="s">
        <v>219</v>
      </c>
      <c r="B133" s="10" t="s">
        <v>220</v>
      </c>
      <c r="C133" s="11" t="s">
        <v>30</v>
      </c>
      <c r="D133" s="19">
        <v>95.95</v>
      </c>
      <c r="E133" s="8">
        <v>41.06</v>
      </c>
      <c r="F133" s="9">
        <f>E133*D133</f>
        <v>3939.7070000000003</v>
      </c>
    </row>
    <row r="134" spans="1:6" ht="15">
      <c r="A134" s="113" t="s">
        <v>572</v>
      </c>
      <c r="B134" s="114"/>
      <c r="C134" s="114"/>
      <c r="D134" s="114"/>
      <c r="E134" s="115"/>
      <c r="F134" s="12">
        <f>SUM(F124:F133)</f>
        <v>31801.89660319317</v>
      </c>
    </row>
    <row r="135" spans="1:6" ht="15">
      <c r="A135" s="20" t="s">
        <v>221</v>
      </c>
      <c r="B135" s="25" t="s">
        <v>222</v>
      </c>
      <c r="C135" s="21"/>
      <c r="D135" s="44"/>
      <c r="E135" s="3"/>
      <c r="F135" s="4"/>
    </row>
    <row r="136" spans="1:6" ht="42.75">
      <c r="A136" s="29" t="s">
        <v>223</v>
      </c>
      <c r="B136" s="26" t="s">
        <v>224</v>
      </c>
      <c r="C136" s="22"/>
      <c r="D136" s="45"/>
      <c r="E136" s="6"/>
      <c r="F136" s="7"/>
    </row>
    <row r="137" spans="1:6" ht="60">
      <c r="A137" s="11" t="s">
        <v>225</v>
      </c>
      <c r="B137" s="10" t="s">
        <v>226</v>
      </c>
      <c r="C137" s="11" t="s">
        <v>9</v>
      </c>
      <c r="D137" s="19">
        <v>176.77</v>
      </c>
      <c r="E137" s="8">
        <f>20.65+42.85</f>
        <v>63.5</v>
      </c>
      <c r="F137" s="9">
        <f>E137*D137</f>
        <v>11224.895</v>
      </c>
    </row>
    <row r="138" spans="1:6" ht="15">
      <c r="A138" s="113" t="s">
        <v>582</v>
      </c>
      <c r="B138" s="114"/>
      <c r="C138" s="114"/>
      <c r="D138" s="114"/>
      <c r="E138" s="115"/>
      <c r="F138" s="12">
        <f>SUM(F137)</f>
        <v>11224.895</v>
      </c>
    </row>
    <row r="139" spans="1:6" ht="15">
      <c r="A139" s="20" t="s">
        <v>227</v>
      </c>
      <c r="B139" s="25" t="s">
        <v>228</v>
      </c>
      <c r="C139" s="21"/>
      <c r="D139" s="44"/>
      <c r="E139" s="3"/>
      <c r="F139" s="4"/>
    </row>
    <row r="140" spans="1:6" ht="15">
      <c r="A140" s="29" t="s">
        <v>230</v>
      </c>
      <c r="B140" s="26" t="s">
        <v>231</v>
      </c>
      <c r="C140" s="22"/>
      <c r="D140" s="45"/>
      <c r="E140" s="6"/>
      <c r="F140" s="7"/>
    </row>
    <row r="141" spans="1:6" ht="15">
      <c r="A141" s="11" t="s">
        <v>232</v>
      </c>
      <c r="B141" s="10" t="s">
        <v>233</v>
      </c>
      <c r="C141" s="11" t="s">
        <v>9</v>
      </c>
      <c r="D141" s="19">
        <v>34.73</v>
      </c>
      <c r="E141" s="8">
        <v>184.97</v>
      </c>
      <c r="F141" s="9">
        <f>E141*D141</f>
        <v>6424.008099999999</v>
      </c>
    </row>
    <row r="142" spans="1:6" ht="28.5">
      <c r="A142" s="29" t="s">
        <v>234</v>
      </c>
      <c r="B142" s="26" t="s">
        <v>235</v>
      </c>
      <c r="C142" s="22"/>
      <c r="D142" s="45"/>
      <c r="E142" s="6"/>
      <c r="F142" s="7"/>
    </row>
    <row r="143" spans="1:6" ht="45">
      <c r="A143" s="30" t="s">
        <v>752</v>
      </c>
      <c r="B143" s="10" t="s">
        <v>236</v>
      </c>
      <c r="C143" s="11" t="s">
        <v>9</v>
      </c>
      <c r="D143" s="19">
        <v>52.52</v>
      </c>
      <c r="E143" s="8">
        <v>10</v>
      </c>
      <c r="F143" s="9">
        <f>E143*D143</f>
        <v>525.2</v>
      </c>
    </row>
    <row r="144" spans="1:6" ht="15">
      <c r="A144" s="113" t="s">
        <v>583</v>
      </c>
      <c r="B144" s="114"/>
      <c r="C144" s="114"/>
      <c r="D144" s="114"/>
      <c r="E144" s="115"/>
      <c r="F144" s="12">
        <f>SUM(F141:F143)</f>
        <v>6949.208099999999</v>
      </c>
    </row>
    <row r="145" spans="1:6" ht="15">
      <c r="A145" s="20" t="s">
        <v>237</v>
      </c>
      <c r="B145" s="25" t="s">
        <v>238</v>
      </c>
      <c r="C145" s="21"/>
      <c r="D145" s="44"/>
      <c r="E145" s="3"/>
      <c r="F145" s="4"/>
    </row>
    <row r="146" spans="1:6" ht="15">
      <c r="A146" s="29" t="s">
        <v>239</v>
      </c>
      <c r="B146" s="26" t="s">
        <v>229</v>
      </c>
      <c r="C146" s="22"/>
      <c r="D146" s="45"/>
      <c r="E146" s="6"/>
      <c r="F146" s="7"/>
    </row>
    <row r="147" spans="1:6" ht="30">
      <c r="A147" s="11" t="s">
        <v>240</v>
      </c>
      <c r="B147" s="10" t="s">
        <v>241</v>
      </c>
      <c r="C147" s="11" t="s">
        <v>9</v>
      </c>
      <c r="D147" s="19">
        <v>5.42</v>
      </c>
      <c r="E147" s="8">
        <v>335.48</v>
      </c>
      <c r="F147" s="9">
        <f>E147*D147</f>
        <v>1818.3016</v>
      </c>
    </row>
    <row r="148" spans="1:6" ht="15">
      <c r="A148" s="29" t="s">
        <v>242</v>
      </c>
      <c r="B148" s="26" t="s">
        <v>243</v>
      </c>
      <c r="C148" s="22"/>
      <c r="D148" s="45"/>
      <c r="E148" s="6"/>
      <c r="F148" s="7"/>
    </row>
    <row r="149" spans="1:6" ht="30">
      <c r="A149" s="11" t="s">
        <v>244</v>
      </c>
      <c r="B149" s="10" t="s">
        <v>245</v>
      </c>
      <c r="C149" s="11" t="s">
        <v>30</v>
      </c>
      <c r="D149" s="19">
        <v>15.04</v>
      </c>
      <c r="E149" s="8">
        <f>18*2.65</f>
        <v>47.699999999999996</v>
      </c>
      <c r="F149" s="9">
        <f>E149*D149</f>
        <v>717.4079999999999</v>
      </c>
    </row>
    <row r="150" spans="1:6" ht="30">
      <c r="A150" s="30" t="s">
        <v>751</v>
      </c>
      <c r="B150" s="10" t="s">
        <v>246</v>
      </c>
      <c r="C150" s="11" t="s">
        <v>30</v>
      </c>
      <c r="D150" s="19">
        <v>43.76</v>
      </c>
      <c r="E150" s="8">
        <f>7.11+7.6+21.38+7.2+7.2+22.84+1</f>
        <v>74.33000000000001</v>
      </c>
      <c r="F150" s="9">
        <f>E150*D150</f>
        <v>3252.6808000000005</v>
      </c>
    </row>
    <row r="151" spans="1:6" ht="45">
      <c r="A151" s="11" t="s">
        <v>247</v>
      </c>
      <c r="B151" s="10" t="s">
        <v>248</v>
      </c>
      <c r="C151" s="11" t="s">
        <v>9</v>
      </c>
      <c r="D151" s="19">
        <v>69.49</v>
      </c>
      <c r="E151" s="8">
        <f>11.76+3</f>
        <v>14.76</v>
      </c>
      <c r="F151" s="9">
        <f>E151*D151</f>
        <v>1025.6724</v>
      </c>
    </row>
    <row r="152" spans="1:6" ht="75">
      <c r="A152" s="30" t="s">
        <v>750</v>
      </c>
      <c r="B152" s="10" t="s">
        <v>249</v>
      </c>
      <c r="C152" s="11" t="s">
        <v>9</v>
      </c>
      <c r="D152" s="19">
        <v>57.94</v>
      </c>
      <c r="E152" s="8">
        <f>169.61+5+7.4</f>
        <v>182.01000000000002</v>
      </c>
      <c r="F152" s="9">
        <f>E152*D152</f>
        <v>10545.6594</v>
      </c>
    </row>
    <row r="153" spans="1:6" ht="75">
      <c r="A153" s="95" t="s">
        <v>646</v>
      </c>
      <c r="B153" s="96" t="s">
        <v>630</v>
      </c>
      <c r="C153" s="95" t="s">
        <v>9</v>
      </c>
      <c r="D153" s="102">
        <v>278.4009350045</v>
      </c>
      <c r="E153" s="91">
        <f>51.55+2</f>
        <v>53.55</v>
      </c>
      <c r="F153" s="92">
        <f>E153*D153</f>
        <v>14908.370069490975</v>
      </c>
    </row>
    <row r="154" spans="1:6" ht="28.5">
      <c r="A154" s="29" t="s">
        <v>250</v>
      </c>
      <c r="B154" s="26" t="s">
        <v>235</v>
      </c>
      <c r="C154" s="22"/>
      <c r="D154" s="45"/>
      <c r="E154" s="6"/>
      <c r="F154" s="7"/>
    </row>
    <row r="155" spans="1:6" ht="45">
      <c r="A155" s="11" t="s">
        <v>251</v>
      </c>
      <c r="B155" s="10" t="s">
        <v>252</v>
      </c>
      <c r="C155" s="11" t="s">
        <v>9</v>
      </c>
      <c r="D155" s="19">
        <v>27.04</v>
      </c>
      <c r="E155" s="8">
        <f>232.27+5</f>
        <v>237.27</v>
      </c>
      <c r="F155" s="9">
        <f>E155*D155</f>
        <v>6415.7808</v>
      </c>
    </row>
    <row r="156" spans="1:6" ht="45">
      <c r="A156" s="11" t="s">
        <v>253</v>
      </c>
      <c r="B156" s="10" t="s">
        <v>254</v>
      </c>
      <c r="C156" s="11" t="s">
        <v>9</v>
      </c>
      <c r="D156" s="19">
        <v>46.48</v>
      </c>
      <c r="E156" s="8">
        <f>399.92+10</f>
        <v>409.92</v>
      </c>
      <c r="F156" s="9">
        <f>E156*D156</f>
        <v>19053.081599999998</v>
      </c>
    </row>
    <row r="157" spans="1:6" ht="15">
      <c r="A157" s="113" t="s">
        <v>584</v>
      </c>
      <c r="B157" s="114"/>
      <c r="C157" s="114"/>
      <c r="D157" s="114"/>
      <c r="E157" s="115"/>
      <c r="F157" s="12">
        <f>SUM(F147:F156)</f>
        <v>57736.95466949097</v>
      </c>
    </row>
    <row r="158" spans="1:6" ht="15">
      <c r="A158" s="20" t="s">
        <v>255</v>
      </c>
      <c r="B158" s="25" t="s">
        <v>256</v>
      </c>
      <c r="C158" s="21"/>
      <c r="D158" s="44"/>
      <c r="E158" s="3"/>
      <c r="F158" s="4"/>
    </row>
    <row r="159" spans="1:6" ht="15">
      <c r="A159" s="29" t="s">
        <v>257</v>
      </c>
      <c r="B159" s="26" t="s">
        <v>258</v>
      </c>
      <c r="C159" s="22"/>
      <c r="D159" s="45"/>
      <c r="E159" s="6"/>
      <c r="F159" s="7"/>
    </row>
    <row r="160" spans="1:6" ht="45">
      <c r="A160" s="11" t="s">
        <v>259</v>
      </c>
      <c r="B160" s="10" t="s">
        <v>260</v>
      </c>
      <c r="C160" s="11" t="s">
        <v>9</v>
      </c>
      <c r="D160" s="19">
        <v>28.9</v>
      </c>
      <c r="E160" s="8">
        <f>119+57.55+10</f>
        <v>186.55</v>
      </c>
      <c r="F160" s="9">
        <f>E160*D160</f>
        <v>5391.295</v>
      </c>
    </row>
    <row r="161" spans="1:6" ht="15">
      <c r="A161" s="30" t="s">
        <v>749</v>
      </c>
      <c r="B161" s="10" t="s">
        <v>261</v>
      </c>
      <c r="C161" s="11" t="s">
        <v>9</v>
      </c>
      <c r="D161" s="19">
        <v>37.7</v>
      </c>
      <c r="E161" s="8">
        <v>20</v>
      </c>
      <c r="F161" s="9">
        <f aca="true" t="shared" si="5" ref="F161:F183">E161*D161</f>
        <v>754</v>
      </c>
    </row>
    <row r="162" spans="1:6" ht="15">
      <c r="A162" s="29" t="s">
        <v>262</v>
      </c>
      <c r="B162" s="26" t="s">
        <v>243</v>
      </c>
      <c r="C162" s="22"/>
      <c r="D162" s="45"/>
      <c r="E162" s="6"/>
      <c r="F162" s="7"/>
    </row>
    <row r="163" spans="1:6" ht="30">
      <c r="A163" s="30" t="s">
        <v>748</v>
      </c>
      <c r="B163" s="10" t="s">
        <v>263</v>
      </c>
      <c r="C163" s="11" t="s">
        <v>30</v>
      </c>
      <c r="D163" s="19">
        <v>7.16</v>
      </c>
      <c r="E163" s="8">
        <v>10</v>
      </c>
      <c r="F163" s="9">
        <f t="shared" si="5"/>
        <v>71.6</v>
      </c>
    </row>
    <row r="164" spans="1:6" ht="60">
      <c r="A164" s="11" t="s">
        <v>264</v>
      </c>
      <c r="B164" s="10" t="s">
        <v>265</v>
      </c>
      <c r="C164" s="11" t="s">
        <v>9</v>
      </c>
      <c r="D164" s="19">
        <v>172.95</v>
      </c>
      <c r="E164" s="8">
        <f>57.55+3</f>
        <v>60.55</v>
      </c>
      <c r="F164" s="9">
        <f t="shared" si="5"/>
        <v>10472.1225</v>
      </c>
    </row>
    <row r="165" spans="1:6" ht="60">
      <c r="A165" s="11" t="s">
        <v>266</v>
      </c>
      <c r="B165" s="10" t="s">
        <v>267</v>
      </c>
      <c r="C165" s="11" t="s">
        <v>9</v>
      </c>
      <c r="D165" s="19">
        <v>51.18</v>
      </c>
      <c r="E165" s="8">
        <f>144.8+5</f>
        <v>149.8</v>
      </c>
      <c r="F165" s="9">
        <f t="shared" si="5"/>
        <v>7666.764</v>
      </c>
    </row>
    <row r="166" spans="1:6" ht="15">
      <c r="A166" s="29" t="s">
        <v>268</v>
      </c>
      <c r="B166" s="26" t="s">
        <v>269</v>
      </c>
      <c r="C166" s="22"/>
      <c r="D166" s="45"/>
      <c r="E166" s="6"/>
      <c r="F166" s="7"/>
    </row>
    <row r="167" spans="1:6" ht="30">
      <c r="A167" s="11" t="s">
        <v>618</v>
      </c>
      <c r="B167" s="10" t="s">
        <v>619</v>
      </c>
      <c r="C167" s="11" t="s">
        <v>30</v>
      </c>
      <c r="D167" s="19">
        <v>130.91</v>
      </c>
      <c r="E167" s="8">
        <v>2</v>
      </c>
      <c r="F167" s="9">
        <f t="shared" si="5"/>
        <v>261.82</v>
      </c>
    </row>
    <row r="168" spans="1:6" ht="15">
      <c r="A168" s="11" t="s">
        <v>270</v>
      </c>
      <c r="B168" s="10" t="s">
        <v>271</v>
      </c>
      <c r="C168" s="11" t="s">
        <v>30</v>
      </c>
      <c r="D168" s="19">
        <v>48.5</v>
      </c>
      <c r="E168" s="8">
        <f>19.2+1+0.65</f>
        <v>20.849999999999998</v>
      </c>
      <c r="F168" s="9">
        <f t="shared" si="5"/>
        <v>1011.2249999999999</v>
      </c>
    </row>
    <row r="169" spans="1:6" ht="60">
      <c r="A169" s="107" t="s">
        <v>747</v>
      </c>
      <c r="B169" s="96" t="s">
        <v>617</v>
      </c>
      <c r="C169" s="95" t="s">
        <v>30</v>
      </c>
      <c r="D169" s="102">
        <v>41.38</v>
      </c>
      <c r="E169" s="91">
        <v>0.85</v>
      </c>
      <c r="F169" s="92">
        <f t="shared" si="5"/>
        <v>35.173</v>
      </c>
    </row>
    <row r="170" spans="1:6" ht="15">
      <c r="A170" s="30" t="s">
        <v>746</v>
      </c>
      <c r="B170" s="10" t="s">
        <v>272</v>
      </c>
      <c r="C170" s="11" t="s">
        <v>30</v>
      </c>
      <c r="D170" s="19">
        <v>72.44</v>
      </c>
      <c r="E170" s="8">
        <v>54.05</v>
      </c>
      <c r="F170" s="9">
        <f t="shared" si="5"/>
        <v>3915.3819999999996</v>
      </c>
    </row>
    <row r="171" spans="1:6" ht="45">
      <c r="A171" s="11" t="s">
        <v>273</v>
      </c>
      <c r="B171" s="10" t="s">
        <v>274</v>
      </c>
      <c r="C171" s="11" t="s">
        <v>30</v>
      </c>
      <c r="D171" s="19">
        <v>26.15</v>
      </c>
      <c r="E171" s="8">
        <f>171.54+5</f>
        <v>176.54</v>
      </c>
      <c r="F171" s="9">
        <f t="shared" si="5"/>
        <v>4616.521</v>
      </c>
    </row>
    <row r="172" spans="1:6" ht="15">
      <c r="A172" s="29" t="s">
        <v>275</v>
      </c>
      <c r="B172" s="26" t="s">
        <v>174</v>
      </c>
      <c r="C172" s="22"/>
      <c r="D172" s="45"/>
      <c r="E172" s="6"/>
      <c r="F172" s="7"/>
    </row>
    <row r="173" spans="1:6" ht="45">
      <c r="A173" s="11" t="s">
        <v>276</v>
      </c>
      <c r="B173" s="10" t="s">
        <v>277</v>
      </c>
      <c r="C173" s="11" t="s">
        <v>9</v>
      </c>
      <c r="D173" s="19">
        <v>99.46</v>
      </c>
      <c r="E173" s="8">
        <v>20</v>
      </c>
      <c r="F173" s="9">
        <f t="shared" si="5"/>
        <v>1989.1999999999998</v>
      </c>
    </row>
    <row r="174" spans="1:6" ht="15">
      <c r="A174" s="113" t="s">
        <v>585</v>
      </c>
      <c r="B174" s="114"/>
      <c r="C174" s="114"/>
      <c r="D174" s="114"/>
      <c r="E174" s="115"/>
      <c r="F174" s="12">
        <f>SUM(F160:F173)</f>
        <v>36185.10249999999</v>
      </c>
    </row>
    <row r="175" spans="1:6" ht="15">
      <c r="A175" s="20" t="s">
        <v>278</v>
      </c>
      <c r="B175" s="25" t="s">
        <v>279</v>
      </c>
      <c r="C175" s="21"/>
      <c r="D175" s="44"/>
      <c r="E175" s="3"/>
      <c r="F175" s="4"/>
    </row>
    <row r="176" spans="1:6" ht="15">
      <c r="A176" s="29" t="s">
        <v>280</v>
      </c>
      <c r="B176" s="26" t="s">
        <v>281</v>
      </c>
      <c r="C176" s="22"/>
      <c r="D176" s="45"/>
      <c r="E176" s="6"/>
      <c r="F176" s="7"/>
    </row>
    <row r="177" spans="1:6" ht="30">
      <c r="A177" s="30" t="s">
        <v>573</v>
      </c>
      <c r="B177" s="10" t="s">
        <v>282</v>
      </c>
      <c r="C177" s="11" t="s">
        <v>283</v>
      </c>
      <c r="D177" s="19">
        <v>76.22</v>
      </c>
      <c r="E177" s="8">
        <f>1+6+3+3+6+2+3+3+1+1</f>
        <v>29</v>
      </c>
      <c r="F177" s="92">
        <f t="shared" si="5"/>
        <v>2210.38</v>
      </c>
    </row>
    <row r="178" spans="1:6" ht="30">
      <c r="A178" s="30" t="s">
        <v>576</v>
      </c>
      <c r="B178" s="10" t="s">
        <v>284</v>
      </c>
      <c r="C178" s="11" t="s">
        <v>283</v>
      </c>
      <c r="D178" s="19">
        <v>137.14</v>
      </c>
      <c r="E178" s="8">
        <v>4</v>
      </c>
      <c r="F178" s="92">
        <f t="shared" si="5"/>
        <v>548.56</v>
      </c>
    </row>
    <row r="179" spans="1:6" ht="15">
      <c r="A179" s="11" t="s">
        <v>285</v>
      </c>
      <c r="B179" s="10" t="s">
        <v>286</v>
      </c>
      <c r="C179" s="11" t="s">
        <v>283</v>
      </c>
      <c r="D179" s="19">
        <v>92.18</v>
      </c>
      <c r="E179" s="8">
        <f>2+1+1+2+1+1</f>
        <v>8</v>
      </c>
      <c r="F179" s="92">
        <f t="shared" si="5"/>
        <v>737.44</v>
      </c>
    </row>
    <row r="180" spans="1:6" ht="30">
      <c r="A180" s="11" t="s">
        <v>287</v>
      </c>
      <c r="B180" s="27" t="s">
        <v>288</v>
      </c>
      <c r="C180" s="11" t="s">
        <v>283</v>
      </c>
      <c r="D180" s="19">
        <v>72.35</v>
      </c>
      <c r="E180" s="8">
        <v>9</v>
      </c>
      <c r="F180" s="92">
        <f t="shared" si="5"/>
        <v>651.15</v>
      </c>
    </row>
    <row r="181" spans="1:6" ht="30">
      <c r="A181" s="11" t="s">
        <v>289</v>
      </c>
      <c r="B181" s="10" t="s">
        <v>290</v>
      </c>
      <c r="C181" s="11" t="s">
        <v>283</v>
      </c>
      <c r="D181" s="19">
        <v>69.09</v>
      </c>
      <c r="E181" s="8">
        <v>4</v>
      </c>
      <c r="F181" s="92">
        <f t="shared" si="5"/>
        <v>276.36</v>
      </c>
    </row>
    <row r="182" spans="1:6" ht="30">
      <c r="A182" s="11" t="s">
        <v>291</v>
      </c>
      <c r="B182" s="10" t="s">
        <v>292</v>
      </c>
      <c r="C182" s="11" t="s">
        <v>33</v>
      </c>
      <c r="D182" s="19">
        <v>155.2</v>
      </c>
      <c r="E182" s="8">
        <v>3</v>
      </c>
      <c r="F182" s="92">
        <f t="shared" si="5"/>
        <v>465.59999999999997</v>
      </c>
    </row>
    <row r="183" spans="1:6" ht="30">
      <c r="A183" s="11" t="s">
        <v>293</v>
      </c>
      <c r="B183" s="10" t="s">
        <v>294</v>
      </c>
      <c r="C183" s="11" t="s">
        <v>33</v>
      </c>
      <c r="D183" s="19">
        <v>83.11</v>
      </c>
      <c r="E183" s="8">
        <v>6</v>
      </c>
      <c r="F183" s="92">
        <f t="shared" si="5"/>
        <v>498.65999999999997</v>
      </c>
    </row>
    <row r="184" spans="1:6" ht="15">
      <c r="A184" s="29" t="s">
        <v>295</v>
      </c>
      <c r="B184" s="26" t="s">
        <v>296</v>
      </c>
      <c r="C184" s="22"/>
      <c r="D184" s="45"/>
      <c r="E184" s="6"/>
      <c r="F184" s="7"/>
    </row>
    <row r="185" spans="1:6" ht="30">
      <c r="A185" s="11" t="s">
        <v>297</v>
      </c>
      <c r="B185" s="10" t="s">
        <v>298</v>
      </c>
      <c r="C185" s="11" t="s">
        <v>30</v>
      </c>
      <c r="D185" s="19">
        <v>41.73</v>
      </c>
      <c r="E185" s="43">
        <v>43.25</v>
      </c>
      <c r="F185" s="92">
        <f aca="true" t="shared" si="6" ref="F185:F203">E185*D185</f>
        <v>1804.8224999999998</v>
      </c>
    </row>
    <row r="186" spans="1:6" ht="30">
      <c r="A186" s="11" t="s">
        <v>299</v>
      </c>
      <c r="B186" s="10" t="s">
        <v>300</v>
      </c>
      <c r="C186" s="11" t="s">
        <v>30</v>
      </c>
      <c r="D186" s="19">
        <v>40.81</v>
      </c>
      <c r="E186" s="8">
        <v>8</v>
      </c>
      <c r="F186" s="92">
        <f t="shared" si="6"/>
        <v>326.48</v>
      </c>
    </row>
    <row r="187" spans="1:6" ht="28.5">
      <c r="A187" s="29" t="s">
        <v>301</v>
      </c>
      <c r="B187" s="26" t="s">
        <v>302</v>
      </c>
      <c r="C187" s="22"/>
      <c r="D187" s="45"/>
      <c r="E187" s="6"/>
      <c r="F187" s="7"/>
    </row>
    <row r="188" spans="1:6" ht="75">
      <c r="A188" s="11" t="s">
        <v>303</v>
      </c>
      <c r="B188" s="10" t="s">
        <v>304</v>
      </c>
      <c r="C188" s="11" t="s">
        <v>33</v>
      </c>
      <c r="D188" s="19">
        <v>620.06</v>
      </c>
      <c r="E188" s="8">
        <v>2</v>
      </c>
      <c r="F188" s="92">
        <f t="shared" si="6"/>
        <v>1240.12</v>
      </c>
    </row>
    <row r="189" spans="1:6" ht="60">
      <c r="A189" s="11" t="s">
        <v>305</v>
      </c>
      <c r="B189" s="10" t="s">
        <v>306</v>
      </c>
      <c r="C189" s="11" t="s">
        <v>33</v>
      </c>
      <c r="D189" s="19">
        <v>614.04</v>
      </c>
      <c r="E189" s="8">
        <v>2</v>
      </c>
      <c r="F189" s="92">
        <f t="shared" si="6"/>
        <v>1228.08</v>
      </c>
    </row>
    <row r="190" spans="1:6" ht="75">
      <c r="A190" s="11" t="s">
        <v>307</v>
      </c>
      <c r="B190" s="10" t="s">
        <v>308</v>
      </c>
      <c r="C190" s="11" t="s">
        <v>33</v>
      </c>
      <c r="D190" s="19">
        <v>652.92</v>
      </c>
      <c r="E190" s="8">
        <v>1</v>
      </c>
      <c r="F190" s="92">
        <f t="shared" si="6"/>
        <v>652.92</v>
      </c>
    </row>
    <row r="191" spans="1:6" ht="28.5">
      <c r="A191" s="29" t="s">
        <v>309</v>
      </c>
      <c r="B191" s="26" t="s">
        <v>310</v>
      </c>
      <c r="C191" s="22"/>
      <c r="D191" s="45"/>
      <c r="E191" s="6"/>
      <c r="F191" s="7"/>
    </row>
    <row r="192" spans="1:6" ht="36" customHeight="1">
      <c r="A192" s="11" t="s">
        <v>311</v>
      </c>
      <c r="B192" s="27" t="s">
        <v>312</v>
      </c>
      <c r="C192" s="11" t="s">
        <v>30</v>
      </c>
      <c r="D192" s="19">
        <v>18.09</v>
      </c>
      <c r="E192" s="13">
        <f>37.4+31</f>
        <v>68.4</v>
      </c>
      <c r="F192" s="9">
        <f t="shared" si="6"/>
        <v>1237.356</v>
      </c>
    </row>
    <row r="193" spans="1:6" ht="30">
      <c r="A193" s="11" t="s">
        <v>313</v>
      </c>
      <c r="B193" s="10" t="s">
        <v>314</v>
      </c>
      <c r="C193" s="11" t="s">
        <v>30</v>
      </c>
      <c r="D193" s="19">
        <v>25.08</v>
      </c>
      <c r="E193" s="8">
        <f>15+17.1+18</f>
        <v>50.1</v>
      </c>
      <c r="F193" s="9">
        <f t="shared" si="6"/>
        <v>1256.508</v>
      </c>
    </row>
    <row r="194" spans="1:6" ht="30">
      <c r="A194" s="30" t="s">
        <v>745</v>
      </c>
      <c r="B194" s="10" t="s">
        <v>315</v>
      </c>
      <c r="C194" s="11" t="s">
        <v>30</v>
      </c>
      <c r="D194" s="19">
        <v>37.7</v>
      </c>
      <c r="E194" s="8">
        <f>26.2</f>
        <v>26.2</v>
      </c>
      <c r="F194" s="9">
        <f t="shared" si="6"/>
        <v>987.74</v>
      </c>
    </row>
    <row r="195" spans="1:6" ht="28.5">
      <c r="A195" s="29" t="s">
        <v>316</v>
      </c>
      <c r="B195" s="26" t="s">
        <v>317</v>
      </c>
      <c r="C195" s="22"/>
      <c r="D195" s="45"/>
      <c r="E195" s="6"/>
      <c r="F195" s="7"/>
    </row>
    <row r="196" spans="1:6" ht="30">
      <c r="A196" s="11" t="s">
        <v>318</v>
      </c>
      <c r="B196" s="10" t="s">
        <v>319</v>
      </c>
      <c r="C196" s="11" t="s">
        <v>33</v>
      </c>
      <c r="D196" s="19">
        <v>15.33</v>
      </c>
      <c r="E196" s="8">
        <v>1</v>
      </c>
      <c r="F196" s="9">
        <f t="shared" si="6"/>
        <v>15.33</v>
      </c>
    </row>
    <row r="197" spans="1:6" ht="30">
      <c r="A197" s="11" t="s">
        <v>320</v>
      </c>
      <c r="B197" s="10" t="s">
        <v>321</v>
      </c>
      <c r="C197" s="11" t="s">
        <v>33</v>
      </c>
      <c r="D197" s="19">
        <v>31.48</v>
      </c>
      <c r="E197" s="8">
        <v>4</v>
      </c>
      <c r="F197" s="9">
        <f t="shared" si="6"/>
        <v>125.92</v>
      </c>
    </row>
    <row r="198" spans="1:6" ht="15">
      <c r="A198" s="29" t="s">
        <v>322</v>
      </c>
      <c r="B198" s="26" t="s">
        <v>323</v>
      </c>
      <c r="C198" s="22"/>
      <c r="D198" s="45"/>
      <c r="E198" s="6"/>
      <c r="F198" s="7"/>
    </row>
    <row r="199" spans="1:6" ht="30">
      <c r="A199" s="30" t="s">
        <v>744</v>
      </c>
      <c r="B199" s="10" t="s">
        <v>324</v>
      </c>
      <c r="C199" s="11" t="s">
        <v>30</v>
      </c>
      <c r="D199" s="19">
        <v>27.54</v>
      </c>
      <c r="E199" s="13">
        <f>2.4+10.75</f>
        <v>13.15</v>
      </c>
      <c r="F199" s="9">
        <f t="shared" si="6"/>
        <v>362.151</v>
      </c>
    </row>
    <row r="200" spans="1:6" ht="30">
      <c r="A200" s="30" t="s">
        <v>743</v>
      </c>
      <c r="B200" s="10" t="s">
        <v>325</v>
      </c>
      <c r="C200" s="11" t="s">
        <v>30</v>
      </c>
      <c r="D200" s="19">
        <v>36.02</v>
      </c>
      <c r="E200" s="13">
        <f>4.2+0.5+16</f>
        <v>20.7</v>
      </c>
      <c r="F200" s="9">
        <f t="shared" si="6"/>
        <v>745.614</v>
      </c>
    </row>
    <row r="201" spans="1:6" ht="30">
      <c r="A201" s="30" t="s">
        <v>742</v>
      </c>
      <c r="B201" s="10" t="s">
        <v>326</v>
      </c>
      <c r="C201" s="11" t="s">
        <v>30</v>
      </c>
      <c r="D201" s="19">
        <v>52.96</v>
      </c>
      <c r="E201" s="8">
        <f>35.6+2+10</f>
        <v>47.6</v>
      </c>
      <c r="F201" s="9">
        <f t="shared" si="6"/>
        <v>2520.896</v>
      </c>
    </row>
    <row r="202" spans="1:6" ht="15">
      <c r="A202" s="29" t="s">
        <v>327</v>
      </c>
      <c r="B202" s="26" t="s">
        <v>328</v>
      </c>
      <c r="C202" s="22"/>
      <c r="D202" s="45"/>
      <c r="E202" s="6"/>
      <c r="F202" s="7"/>
    </row>
    <row r="203" spans="1:6" ht="30">
      <c r="A203" s="11" t="s">
        <v>329</v>
      </c>
      <c r="B203" s="10" t="s">
        <v>330</v>
      </c>
      <c r="C203" s="11" t="s">
        <v>33</v>
      </c>
      <c r="D203" s="19">
        <v>90.82</v>
      </c>
      <c r="E203" s="8">
        <v>1</v>
      </c>
      <c r="F203" s="9">
        <f t="shared" si="6"/>
        <v>90.82</v>
      </c>
    </row>
    <row r="204" spans="1:6" ht="15">
      <c r="A204" s="11" t="s">
        <v>331</v>
      </c>
      <c r="B204" s="10" t="s">
        <v>332</v>
      </c>
      <c r="C204" s="11" t="s">
        <v>33</v>
      </c>
      <c r="D204" s="19">
        <v>65.92</v>
      </c>
      <c r="E204" s="8">
        <v>1</v>
      </c>
      <c r="F204" s="9">
        <f aca="true" t="shared" si="7" ref="F204:F225">E204*D204</f>
        <v>65.92</v>
      </c>
    </row>
    <row r="205" spans="1:6" ht="30">
      <c r="A205" s="11" t="s">
        <v>333</v>
      </c>
      <c r="B205" s="10" t="s">
        <v>334</v>
      </c>
      <c r="C205" s="11" t="s">
        <v>33</v>
      </c>
      <c r="D205" s="19">
        <v>15.33</v>
      </c>
      <c r="E205" s="8">
        <v>1</v>
      </c>
      <c r="F205" s="9">
        <f t="shared" si="7"/>
        <v>15.33</v>
      </c>
    </row>
    <row r="206" spans="1:6" ht="28.5">
      <c r="A206" s="29" t="s">
        <v>335</v>
      </c>
      <c r="B206" s="26" t="s">
        <v>336</v>
      </c>
      <c r="C206" s="22"/>
      <c r="D206" s="45"/>
      <c r="E206" s="6"/>
      <c r="F206" s="7"/>
    </row>
    <row r="207" spans="1:6" ht="30">
      <c r="A207" s="107" t="s">
        <v>741</v>
      </c>
      <c r="B207" s="27" t="s">
        <v>337</v>
      </c>
      <c r="C207" s="23" t="s">
        <v>30</v>
      </c>
      <c r="D207" s="47">
        <v>10.16</v>
      </c>
      <c r="E207" s="13">
        <v>43.25</v>
      </c>
      <c r="F207" s="92">
        <f t="shared" si="7"/>
        <v>439.42</v>
      </c>
    </row>
    <row r="208" spans="1:6" ht="30">
      <c r="A208" s="23" t="s">
        <v>338</v>
      </c>
      <c r="B208" s="27" t="s">
        <v>339</v>
      </c>
      <c r="C208" s="23" t="s">
        <v>30</v>
      </c>
      <c r="D208" s="47">
        <v>15.22</v>
      </c>
      <c r="E208" s="13">
        <v>10</v>
      </c>
      <c r="F208" s="92">
        <f t="shared" si="7"/>
        <v>152.20000000000002</v>
      </c>
    </row>
    <row r="209" spans="1:6" ht="30">
      <c r="A209" s="23" t="s">
        <v>340</v>
      </c>
      <c r="B209" s="27" t="s">
        <v>341</v>
      </c>
      <c r="C209" s="23" t="s">
        <v>30</v>
      </c>
      <c r="D209" s="47">
        <v>22.89</v>
      </c>
      <c r="E209" s="13">
        <v>15</v>
      </c>
      <c r="F209" s="92">
        <f t="shared" si="7"/>
        <v>343.35</v>
      </c>
    </row>
    <row r="210" spans="1:6" ht="30">
      <c r="A210" s="23" t="s">
        <v>342</v>
      </c>
      <c r="B210" s="27" t="s">
        <v>343</v>
      </c>
      <c r="C210" s="23" t="s">
        <v>30</v>
      </c>
      <c r="D210" s="47">
        <v>19.39</v>
      </c>
      <c r="E210" s="13">
        <v>8</v>
      </c>
      <c r="F210" s="92">
        <f t="shared" si="7"/>
        <v>155.12</v>
      </c>
    </row>
    <row r="211" spans="1:6" ht="30">
      <c r="A211" s="23" t="s">
        <v>344</v>
      </c>
      <c r="B211" s="27" t="s">
        <v>345</v>
      </c>
      <c r="C211" s="23" t="s">
        <v>30</v>
      </c>
      <c r="D211" s="47">
        <v>29.52</v>
      </c>
      <c r="E211" s="13">
        <v>5</v>
      </c>
      <c r="F211" s="92">
        <f t="shared" si="7"/>
        <v>147.6</v>
      </c>
    </row>
    <row r="212" spans="1:6" ht="30">
      <c r="A212" s="23" t="s">
        <v>346</v>
      </c>
      <c r="B212" s="27" t="s">
        <v>347</v>
      </c>
      <c r="C212" s="23" t="s">
        <v>30</v>
      </c>
      <c r="D212" s="47">
        <v>42.94</v>
      </c>
      <c r="E212" s="13">
        <v>5</v>
      </c>
      <c r="F212" s="92">
        <f t="shared" si="7"/>
        <v>214.7</v>
      </c>
    </row>
    <row r="213" spans="1:6" ht="15">
      <c r="A213" s="113" t="s">
        <v>586</v>
      </c>
      <c r="B213" s="114"/>
      <c r="C213" s="114"/>
      <c r="D213" s="114"/>
      <c r="E213" s="115"/>
      <c r="F213" s="12">
        <f>SUM(F177:F212)</f>
        <v>19516.547499999993</v>
      </c>
    </row>
    <row r="214" spans="1:6" ht="15">
      <c r="A214" s="20" t="s">
        <v>348</v>
      </c>
      <c r="B214" s="25" t="s">
        <v>349</v>
      </c>
      <c r="C214" s="21"/>
      <c r="D214" s="44"/>
      <c r="E214" s="3"/>
      <c r="F214" s="4"/>
    </row>
    <row r="215" spans="1:6" ht="15">
      <c r="A215" s="29" t="s">
        <v>350</v>
      </c>
      <c r="B215" s="26" t="s">
        <v>351</v>
      </c>
      <c r="C215" s="22"/>
      <c r="D215" s="45"/>
      <c r="E215" s="6"/>
      <c r="F215" s="7"/>
    </row>
    <row r="216" spans="1:6" ht="60">
      <c r="A216" s="11" t="s">
        <v>720</v>
      </c>
      <c r="B216" s="10" t="s">
        <v>721</v>
      </c>
      <c r="C216" s="11" t="s">
        <v>33</v>
      </c>
      <c r="D216" s="19">
        <v>215.88</v>
      </c>
      <c r="E216" s="8">
        <v>3</v>
      </c>
      <c r="F216" s="92">
        <f>E216*D216</f>
        <v>647.64</v>
      </c>
    </row>
    <row r="217" spans="1:6" ht="15">
      <c r="A217" s="11" t="s">
        <v>352</v>
      </c>
      <c r="B217" s="10" t="s">
        <v>353</v>
      </c>
      <c r="C217" s="11" t="s">
        <v>33</v>
      </c>
      <c r="D217" s="19">
        <v>7.67</v>
      </c>
      <c r="E217" s="8">
        <v>24</v>
      </c>
      <c r="F217" s="92">
        <f t="shared" si="7"/>
        <v>184.07999999999998</v>
      </c>
    </row>
    <row r="218" spans="1:6" ht="15">
      <c r="A218" s="11" t="s">
        <v>354</v>
      </c>
      <c r="B218" s="10" t="s">
        <v>355</v>
      </c>
      <c r="C218" s="11" t="s">
        <v>33</v>
      </c>
      <c r="D218" s="19">
        <v>7.53</v>
      </c>
      <c r="E218" s="8">
        <f>56+4+13+2+2+2</f>
        <v>79</v>
      </c>
      <c r="F218" s="92">
        <f t="shared" si="7"/>
        <v>594.87</v>
      </c>
    </row>
    <row r="219" spans="1:6" ht="15">
      <c r="A219" s="11" t="s">
        <v>356</v>
      </c>
      <c r="B219" s="10" t="s">
        <v>357</v>
      </c>
      <c r="C219" s="11" t="s">
        <v>33</v>
      </c>
      <c r="D219" s="19">
        <v>12.53</v>
      </c>
      <c r="E219" s="8">
        <v>10</v>
      </c>
      <c r="F219" s="92">
        <f t="shared" si="7"/>
        <v>125.3</v>
      </c>
    </row>
    <row r="220" spans="1:6" ht="15">
      <c r="A220" s="11" t="s">
        <v>358</v>
      </c>
      <c r="B220" s="10" t="s">
        <v>359</v>
      </c>
      <c r="C220" s="11" t="s">
        <v>33</v>
      </c>
      <c r="D220" s="19">
        <v>9.01</v>
      </c>
      <c r="E220" s="8">
        <v>10</v>
      </c>
      <c r="F220" s="92">
        <f t="shared" si="7"/>
        <v>90.1</v>
      </c>
    </row>
    <row r="221" spans="1:6" ht="30">
      <c r="A221" s="11" t="s">
        <v>360</v>
      </c>
      <c r="B221" s="10" t="s">
        <v>361</v>
      </c>
      <c r="C221" s="11" t="s">
        <v>33</v>
      </c>
      <c r="D221" s="19">
        <v>46.17</v>
      </c>
      <c r="E221" s="8">
        <v>5</v>
      </c>
      <c r="F221" s="92">
        <f t="shared" si="7"/>
        <v>230.85000000000002</v>
      </c>
    </row>
    <row r="222" spans="1:6" ht="30">
      <c r="A222" s="11" t="s">
        <v>362</v>
      </c>
      <c r="B222" s="10" t="s">
        <v>363</v>
      </c>
      <c r="C222" s="11" t="s">
        <v>33</v>
      </c>
      <c r="D222" s="19">
        <v>77.74</v>
      </c>
      <c r="E222" s="8">
        <v>4</v>
      </c>
      <c r="F222" s="92">
        <f t="shared" si="7"/>
        <v>310.96</v>
      </c>
    </row>
    <row r="223" spans="1:6" ht="30">
      <c r="A223" s="11" t="s">
        <v>364</v>
      </c>
      <c r="B223" s="10" t="s">
        <v>365</v>
      </c>
      <c r="C223" s="11" t="s">
        <v>33</v>
      </c>
      <c r="D223" s="19">
        <v>109.16</v>
      </c>
      <c r="E223" s="8">
        <v>4</v>
      </c>
      <c r="F223" s="92">
        <f t="shared" si="7"/>
        <v>436.64</v>
      </c>
    </row>
    <row r="224" spans="1:6" ht="15">
      <c r="A224" s="31" t="s">
        <v>577</v>
      </c>
      <c r="B224" s="26" t="s">
        <v>366</v>
      </c>
      <c r="C224" s="22"/>
      <c r="D224" s="45"/>
      <c r="E224" s="6"/>
      <c r="F224" s="7"/>
    </row>
    <row r="225" spans="1:6" ht="30">
      <c r="A225" s="11" t="s">
        <v>367</v>
      </c>
      <c r="B225" s="10" t="s">
        <v>368</v>
      </c>
      <c r="C225" s="11" t="s">
        <v>30</v>
      </c>
      <c r="D225" s="19">
        <v>14.22</v>
      </c>
      <c r="E225" s="8">
        <v>235.24</v>
      </c>
      <c r="F225" s="92">
        <f t="shared" si="7"/>
        <v>3345.1128000000003</v>
      </c>
    </row>
    <row r="226" spans="1:6" ht="45">
      <c r="A226" s="11" t="s">
        <v>369</v>
      </c>
      <c r="B226" s="10" t="s">
        <v>370</v>
      </c>
      <c r="C226" s="11" t="s">
        <v>33</v>
      </c>
      <c r="D226" s="19">
        <v>17.62</v>
      </c>
      <c r="E226" s="8">
        <v>35</v>
      </c>
      <c r="F226" s="92">
        <f aca="true" t="shared" si="8" ref="F226:F231">E226*D226</f>
        <v>616.7</v>
      </c>
    </row>
    <row r="227" spans="1:6" ht="45">
      <c r="A227" s="30" t="s">
        <v>740</v>
      </c>
      <c r="B227" s="10" t="s">
        <v>371</v>
      </c>
      <c r="C227" s="11" t="s">
        <v>33</v>
      </c>
      <c r="D227" s="19">
        <v>20.35</v>
      </c>
      <c r="E227" s="8">
        <v>32</v>
      </c>
      <c r="F227" s="92">
        <f t="shared" si="8"/>
        <v>651.2</v>
      </c>
    </row>
    <row r="228" spans="1:6" ht="45">
      <c r="A228" s="11" t="s">
        <v>372</v>
      </c>
      <c r="B228" s="10" t="s">
        <v>373</v>
      </c>
      <c r="C228" s="11" t="s">
        <v>33</v>
      </c>
      <c r="D228" s="19">
        <v>19.28</v>
      </c>
      <c r="E228" s="8">
        <v>13</v>
      </c>
      <c r="F228" s="92">
        <f t="shared" si="8"/>
        <v>250.64000000000001</v>
      </c>
    </row>
    <row r="229" spans="1:6" ht="45">
      <c r="A229" s="11" t="s">
        <v>374</v>
      </c>
      <c r="B229" s="10" t="s">
        <v>375</v>
      </c>
      <c r="C229" s="11" t="s">
        <v>33</v>
      </c>
      <c r="D229" s="19">
        <v>22.34</v>
      </c>
      <c r="E229" s="8">
        <v>11</v>
      </c>
      <c r="F229" s="92">
        <f t="shared" si="8"/>
        <v>245.74</v>
      </c>
    </row>
    <row r="230" spans="1:6" ht="15">
      <c r="A230" s="11" t="s">
        <v>376</v>
      </c>
      <c r="B230" s="10" t="s">
        <v>377</v>
      </c>
      <c r="C230" s="11" t="s">
        <v>30</v>
      </c>
      <c r="D230" s="19">
        <v>21.6</v>
      </c>
      <c r="E230" s="8">
        <v>11.5</v>
      </c>
      <c r="F230" s="92">
        <f t="shared" si="8"/>
        <v>248.4</v>
      </c>
    </row>
    <row r="231" spans="1:6" ht="60">
      <c r="A231" s="11" t="s">
        <v>378</v>
      </c>
      <c r="B231" s="10" t="s">
        <v>379</v>
      </c>
      <c r="C231" s="11" t="s">
        <v>33</v>
      </c>
      <c r="D231" s="19">
        <v>20.24</v>
      </c>
      <c r="E231" s="8">
        <v>50</v>
      </c>
      <c r="F231" s="92">
        <f t="shared" si="8"/>
        <v>1011.9999999999999</v>
      </c>
    </row>
    <row r="232" spans="1:6" ht="45">
      <c r="A232" s="84" t="s">
        <v>648</v>
      </c>
      <c r="B232" s="103" t="s">
        <v>647</v>
      </c>
      <c r="C232" s="84" t="s">
        <v>30</v>
      </c>
      <c r="D232" s="83">
        <v>64.34</v>
      </c>
      <c r="E232" s="43">
        <f>1.5+12.2+10+14.5+2+4.8+7.8+2.5+3.5+5</f>
        <v>63.8</v>
      </c>
      <c r="F232" s="82">
        <f>E232*D232</f>
        <v>4104.892</v>
      </c>
    </row>
    <row r="233" spans="1:6" ht="30">
      <c r="A233" s="84" t="s">
        <v>650</v>
      </c>
      <c r="B233" s="103" t="s">
        <v>649</v>
      </c>
      <c r="C233" s="84" t="s">
        <v>33</v>
      </c>
      <c r="D233" s="83">
        <v>30.55</v>
      </c>
      <c r="E233" s="43">
        <f>1+5+4+6+3+3+1</f>
        <v>23</v>
      </c>
      <c r="F233" s="82">
        <f>E233*D233</f>
        <v>702.65</v>
      </c>
    </row>
    <row r="234" spans="1:6" ht="30">
      <c r="A234" s="84" t="s">
        <v>652</v>
      </c>
      <c r="B234" s="103" t="s">
        <v>651</v>
      </c>
      <c r="C234" s="84" t="s">
        <v>33</v>
      </c>
      <c r="D234" s="83">
        <v>24.85</v>
      </c>
      <c r="E234" s="43">
        <v>6</v>
      </c>
      <c r="F234" s="82">
        <f>E234*D234</f>
        <v>149.10000000000002</v>
      </c>
    </row>
    <row r="235" spans="1:6" ht="30">
      <c r="A235" s="84" t="s">
        <v>654</v>
      </c>
      <c r="B235" s="103" t="s">
        <v>653</v>
      </c>
      <c r="C235" s="84" t="s">
        <v>33</v>
      </c>
      <c r="D235" s="83">
        <v>49.14</v>
      </c>
      <c r="E235" s="43">
        <v>1</v>
      </c>
      <c r="F235" s="82">
        <f>E235*D235</f>
        <v>49.14</v>
      </c>
    </row>
    <row r="236" spans="1:6" ht="28.5">
      <c r="A236" s="29" t="s">
        <v>380</v>
      </c>
      <c r="B236" s="26" t="s">
        <v>381</v>
      </c>
      <c r="C236" s="22"/>
      <c r="D236" s="45"/>
      <c r="E236" s="6"/>
      <c r="F236" s="7"/>
    </row>
    <row r="237" spans="1:6" ht="15">
      <c r="A237" s="30" t="s">
        <v>739</v>
      </c>
      <c r="B237" s="10" t="s">
        <v>382</v>
      </c>
      <c r="C237" s="11" t="s">
        <v>30</v>
      </c>
      <c r="D237" s="19">
        <v>1.53</v>
      </c>
      <c r="E237" s="8">
        <v>8.5</v>
      </c>
      <c r="F237" s="9">
        <f>E237*D237</f>
        <v>13.005</v>
      </c>
    </row>
    <row r="238" spans="1:6" ht="30">
      <c r="A238" s="11" t="s">
        <v>383</v>
      </c>
      <c r="B238" s="10" t="s">
        <v>384</v>
      </c>
      <c r="C238" s="11" t="s">
        <v>33</v>
      </c>
      <c r="D238" s="19">
        <v>25.59</v>
      </c>
      <c r="E238" s="8">
        <v>10</v>
      </c>
      <c r="F238" s="9">
        <f>E238*D238</f>
        <v>255.9</v>
      </c>
    </row>
    <row r="239" spans="1:6" ht="15">
      <c r="A239" s="29" t="s">
        <v>385</v>
      </c>
      <c r="B239" s="26" t="s">
        <v>386</v>
      </c>
      <c r="C239" s="22"/>
      <c r="D239" s="45"/>
      <c r="E239" s="6"/>
      <c r="F239" s="7"/>
    </row>
    <row r="240" spans="1:6" ht="30">
      <c r="A240" s="11" t="s">
        <v>387</v>
      </c>
      <c r="B240" s="10" t="s">
        <v>388</v>
      </c>
      <c r="C240" s="11" t="s">
        <v>30</v>
      </c>
      <c r="D240" s="19">
        <v>14.14</v>
      </c>
      <c r="E240" s="8">
        <f>70.6+84.5+5+65</f>
        <v>225.1</v>
      </c>
      <c r="F240" s="92">
        <f>E240*D240</f>
        <v>3182.914</v>
      </c>
    </row>
    <row r="241" spans="1:6" ht="30">
      <c r="A241" s="30" t="s">
        <v>738</v>
      </c>
      <c r="B241" s="10" t="s">
        <v>389</v>
      </c>
      <c r="C241" s="11" t="s">
        <v>30</v>
      </c>
      <c r="D241" s="19">
        <v>25.79</v>
      </c>
      <c r="E241" s="8">
        <f>22.1+15</f>
        <v>37.1</v>
      </c>
      <c r="F241" s="92">
        <f>E241*D241</f>
        <v>956.809</v>
      </c>
    </row>
    <row r="242" spans="1:6" ht="30">
      <c r="A242" s="30" t="s">
        <v>737</v>
      </c>
      <c r="B242" s="10" t="s">
        <v>390</v>
      </c>
      <c r="C242" s="11" t="s">
        <v>30</v>
      </c>
      <c r="D242" s="19">
        <v>33.47</v>
      </c>
      <c r="E242" s="8">
        <v>5</v>
      </c>
      <c r="F242" s="92">
        <f>E242*D242</f>
        <v>167.35</v>
      </c>
    </row>
    <row r="243" spans="1:6" ht="30">
      <c r="A243" s="30" t="s">
        <v>736</v>
      </c>
      <c r="B243" s="10" t="s">
        <v>391</v>
      </c>
      <c r="C243" s="11" t="s">
        <v>30</v>
      </c>
      <c r="D243" s="19">
        <v>38.69</v>
      </c>
      <c r="E243" s="8">
        <f>12.45+28.2+5</f>
        <v>45.65</v>
      </c>
      <c r="F243" s="92">
        <f>E243*D243</f>
        <v>1766.1984999999997</v>
      </c>
    </row>
    <row r="244" spans="1:6" ht="30">
      <c r="A244" s="11" t="s">
        <v>392</v>
      </c>
      <c r="B244" s="10" t="s">
        <v>393</v>
      </c>
      <c r="C244" s="11" t="s">
        <v>30</v>
      </c>
      <c r="D244" s="19">
        <v>7.47</v>
      </c>
      <c r="E244" s="8">
        <v>30</v>
      </c>
      <c r="F244" s="92">
        <f>E244*D244</f>
        <v>224.1</v>
      </c>
    </row>
    <row r="245" spans="1:6" ht="15">
      <c r="A245" s="29" t="s">
        <v>394</v>
      </c>
      <c r="B245" s="26" t="s">
        <v>395</v>
      </c>
      <c r="C245" s="22"/>
      <c r="D245" s="45"/>
      <c r="E245" s="6"/>
      <c r="F245" s="7"/>
    </row>
    <row r="246" spans="1:6" ht="45">
      <c r="A246" s="11" t="s">
        <v>396</v>
      </c>
      <c r="B246" s="10" t="s">
        <v>397</v>
      </c>
      <c r="C246" s="11" t="s">
        <v>33</v>
      </c>
      <c r="D246" s="19">
        <v>19.78</v>
      </c>
      <c r="E246" s="8">
        <v>5</v>
      </c>
      <c r="F246" s="92">
        <f aca="true" t="shared" si="9" ref="F246:F261">E246*D246</f>
        <v>98.9</v>
      </c>
    </row>
    <row r="247" spans="1:6" ht="45">
      <c r="A247" s="11" t="s">
        <v>398</v>
      </c>
      <c r="B247" s="10" t="s">
        <v>399</v>
      </c>
      <c r="C247" s="11" t="s">
        <v>33</v>
      </c>
      <c r="D247" s="19">
        <v>19.78</v>
      </c>
      <c r="E247" s="8">
        <v>10</v>
      </c>
      <c r="F247" s="92">
        <f t="shared" si="9"/>
        <v>197.8</v>
      </c>
    </row>
    <row r="248" spans="1:6" ht="45">
      <c r="A248" s="11" t="s">
        <v>400</v>
      </c>
      <c r="B248" s="10" t="s">
        <v>401</v>
      </c>
      <c r="C248" s="11" t="s">
        <v>33</v>
      </c>
      <c r="D248" s="19">
        <v>52.39</v>
      </c>
      <c r="E248" s="8">
        <v>8</v>
      </c>
      <c r="F248" s="92">
        <f t="shared" si="9"/>
        <v>419.12</v>
      </c>
    </row>
    <row r="249" spans="1:6" ht="45">
      <c r="A249" s="11" t="s">
        <v>402</v>
      </c>
      <c r="B249" s="10" t="s">
        <v>403</v>
      </c>
      <c r="C249" s="11" t="s">
        <v>33</v>
      </c>
      <c r="D249" s="19">
        <v>91.98</v>
      </c>
      <c r="E249" s="8">
        <v>4</v>
      </c>
      <c r="F249" s="92">
        <f t="shared" si="9"/>
        <v>367.92</v>
      </c>
    </row>
    <row r="250" spans="1:6" ht="45">
      <c r="A250" s="11" t="s">
        <v>404</v>
      </c>
      <c r="B250" s="10" t="s">
        <v>405</v>
      </c>
      <c r="C250" s="11" t="s">
        <v>33</v>
      </c>
      <c r="D250" s="19">
        <v>52.39</v>
      </c>
      <c r="E250" s="8">
        <v>4</v>
      </c>
      <c r="F250" s="92">
        <f t="shared" si="9"/>
        <v>209.56</v>
      </c>
    </row>
    <row r="251" spans="1:6" ht="45">
      <c r="A251" s="11" t="s">
        <v>406</v>
      </c>
      <c r="B251" s="10" t="s">
        <v>407</v>
      </c>
      <c r="C251" s="11" t="s">
        <v>33</v>
      </c>
      <c r="D251" s="19">
        <v>156.29</v>
      </c>
      <c r="E251" s="8">
        <v>2</v>
      </c>
      <c r="F251" s="92">
        <f t="shared" si="9"/>
        <v>312.58</v>
      </c>
    </row>
    <row r="252" spans="1:6" ht="15">
      <c r="A252" s="11" t="s">
        <v>408</v>
      </c>
      <c r="B252" s="10" t="s">
        <v>409</v>
      </c>
      <c r="C252" s="11" t="s">
        <v>33</v>
      </c>
      <c r="D252" s="19">
        <v>180.13</v>
      </c>
      <c r="E252" s="8">
        <v>2</v>
      </c>
      <c r="F252" s="92">
        <f>E252*D252</f>
        <v>360.26</v>
      </c>
    </row>
    <row r="253" spans="1:6" ht="45">
      <c r="A253" s="11" t="s">
        <v>410</v>
      </c>
      <c r="B253" s="10" t="s">
        <v>411</v>
      </c>
      <c r="C253" s="11" t="s">
        <v>33</v>
      </c>
      <c r="D253" s="19">
        <v>437.7</v>
      </c>
      <c r="E253" s="8">
        <v>2</v>
      </c>
      <c r="F253" s="92">
        <f>E253*D253</f>
        <v>875.4</v>
      </c>
    </row>
    <row r="254" spans="1:6" ht="15">
      <c r="A254" s="11" t="s">
        <v>412</v>
      </c>
      <c r="B254" s="10" t="s">
        <v>413</v>
      </c>
      <c r="C254" s="11" t="s">
        <v>33</v>
      </c>
      <c r="D254" s="19">
        <v>180.13</v>
      </c>
      <c r="E254" s="8">
        <v>6</v>
      </c>
      <c r="F254" s="92">
        <f t="shared" si="9"/>
        <v>1080.78</v>
      </c>
    </row>
    <row r="255" spans="1:6" ht="15">
      <c r="A255" s="29" t="s">
        <v>414</v>
      </c>
      <c r="B255" s="26" t="s">
        <v>415</v>
      </c>
      <c r="C255" s="22"/>
      <c r="D255" s="45"/>
      <c r="E255" s="6"/>
      <c r="F255" s="7"/>
    </row>
    <row r="256" spans="1:6" ht="30">
      <c r="A256" s="11" t="s">
        <v>416</v>
      </c>
      <c r="B256" s="10" t="s">
        <v>417</v>
      </c>
      <c r="C256" s="11" t="s">
        <v>30</v>
      </c>
      <c r="D256" s="19">
        <v>5.04</v>
      </c>
      <c r="E256" s="8">
        <f>952.43+1002.7+87.35+100</f>
        <v>2142.48</v>
      </c>
      <c r="F256" s="92">
        <f t="shared" si="9"/>
        <v>10798.0992</v>
      </c>
    </row>
    <row r="257" spans="1:6" ht="30">
      <c r="A257" s="30" t="s">
        <v>735</v>
      </c>
      <c r="B257" s="10" t="s">
        <v>418</v>
      </c>
      <c r="C257" s="11" t="s">
        <v>30</v>
      </c>
      <c r="D257" s="19">
        <v>6.15</v>
      </c>
      <c r="E257" s="8">
        <f>442.1+100+10</f>
        <v>552.1</v>
      </c>
      <c r="F257" s="92">
        <f t="shared" si="9"/>
        <v>3395.4150000000004</v>
      </c>
    </row>
    <row r="258" spans="1:6" ht="15">
      <c r="A258" s="30" t="s">
        <v>722</v>
      </c>
      <c r="B258" s="10" t="s">
        <v>723</v>
      </c>
      <c r="C258" s="11" t="s">
        <v>30</v>
      </c>
      <c r="D258" s="94">
        <v>9.97</v>
      </c>
      <c r="E258" s="8">
        <v>60</v>
      </c>
      <c r="F258" s="92">
        <f t="shared" si="9"/>
        <v>598.2</v>
      </c>
    </row>
    <row r="259" spans="1:6" ht="30">
      <c r="A259" s="11" t="s">
        <v>419</v>
      </c>
      <c r="B259" s="10" t="s">
        <v>420</v>
      </c>
      <c r="C259" s="11" t="s">
        <v>30</v>
      </c>
      <c r="D259" s="19">
        <v>10.9</v>
      </c>
      <c r="E259" s="8">
        <f>27.75+8+30</f>
        <v>65.75</v>
      </c>
      <c r="F259" s="92">
        <f t="shared" si="9"/>
        <v>716.6750000000001</v>
      </c>
    </row>
    <row r="260" spans="1:6" ht="30">
      <c r="A260" s="11" t="s">
        <v>421</v>
      </c>
      <c r="B260" s="10" t="s">
        <v>422</v>
      </c>
      <c r="C260" s="11" t="s">
        <v>30</v>
      </c>
      <c r="D260" s="19">
        <v>14.77</v>
      </c>
      <c r="E260" s="8">
        <f>62+66+50</f>
        <v>178</v>
      </c>
      <c r="F260" s="92">
        <f t="shared" si="9"/>
        <v>2629.06</v>
      </c>
    </row>
    <row r="261" spans="1:6" ht="30">
      <c r="A261" s="11" t="s">
        <v>423</v>
      </c>
      <c r="B261" s="10" t="s">
        <v>424</v>
      </c>
      <c r="C261" s="11" t="s">
        <v>30</v>
      </c>
      <c r="D261" s="19">
        <v>40.57</v>
      </c>
      <c r="E261" s="8">
        <v>84</v>
      </c>
      <c r="F261" s="92">
        <f t="shared" si="9"/>
        <v>3407.88</v>
      </c>
    </row>
    <row r="262" spans="1:6" ht="15">
      <c r="A262" s="29" t="s">
        <v>717</v>
      </c>
      <c r="B262" s="26" t="s">
        <v>718</v>
      </c>
      <c r="C262" s="22"/>
      <c r="D262" s="45"/>
      <c r="E262" s="6"/>
      <c r="F262" s="7"/>
    </row>
    <row r="263" spans="1:6" s="86" customFormat="1" ht="15">
      <c r="A263" s="30" t="s">
        <v>734</v>
      </c>
      <c r="B263" s="89" t="s">
        <v>719</v>
      </c>
      <c r="C263" s="90" t="s">
        <v>33</v>
      </c>
      <c r="D263" s="94">
        <v>112.95</v>
      </c>
      <c r="E263" s="87">
        <v>3</v>
      </c>
      <c r="F263" s="92">
        <f>E263*D263</f>
        <v>338.85</v>
      </c>
    </row>
    <row r="264" spans="1:6" ht="28.5">
      <c r="A264" s="29" t="s">
        <v>425</v>
      </c>
      <c r="B264" s="26" t="s">
        <v>336</v>
      </c>
      <c r="C264" s="22"/>
      <c r="D264" s="45"/>
      <c r="E264" s="6"/>
      <c r="F264" s="7"/>
    </row>
    <row r="265" spans="1:6" ht="30">
      <c r="A265" s="11" t="s">
        <v>426</v>
      </c>
      <c r="B265" s="27" t="s">
        <v>427</v>
      </c>
      <c r="C265" s="23" t="s">
        <v>30</v>
      </c>
      <c r="D265" s="47">
        <v>10.16</v>
      </c>
      <c r="E265" s="13">
        <f>53.2+67.6+7+10+5</f>
        <v>142.8</v>
      </c>
      <c r="F265" s="92">
        <f>E265*D265</f>
        <v>1450.8480000000002</v>
      </c>
    </row>
    <row r="266" spans="1:6" ht="30">
      <c r="A266" s="30" t="s">
        <v>733</v>
      </c>
      <c r="B266" s="27" t="s">
        <v>428</v>
      </c>
      <c r="C266" s="23" t="s">
        <v>30</v>
      </c>
      <c r="D266" s="47">
        <v>15.22</v>
      </c>
      <c r="E266" s="13">
        <f>11.5+5+2</f>
        <v>18.5</v>
      </c>
      <c r="F266" s="92">
        <f>E266*D266</f>
        <v>281.57</v>
      </c>
    </row>
    <row r="267" spans="1:6" ht="28.5">
      <c r="A267" s="29" t="s">
        <v>429</v>
      </c>
      <c r="B267" s="26" t="s">
        <v>430</v>
      </c>
      <c r="C267" s="22"/>
      <c r="D267" s="45"/>
      <c r="E267" s="6"/>
      <c r="F267" s="7"/>
    </row>
    <row r="268" spans="1:6" ht="75">
      <c r="A268" s="11" t="s">
        <v>431</v>
      </c>
      <c r="B268" s="10" t="s">
        <v>432</v>
      </c>
      <c r="C268" s="11" t="s">
        <v>33</v>
      </c>
      <c r="D268" s="19">
        <v>451.98</v>
      </c>
      <c r="E268" s="8">
        <v>4</v>
      </c>
      <c r="F268" s="92">
        <f aca="true" t="shared" si="10" ref="F268:F274">E268*D268</f>
        <v>1807.92</v>
      </c>
    </row>
    <row r="269" spans="1:6" ht="28.5">
      <c r="A269" s="29" t="s">
        <v>433</v>
      </c>
      <c r="B269" s="26" t="s">
        <v>434</v>
      </c>
      <c r="C269" s="22"/>
      <c r="D269" s="45"/>
      <c r="E269" s="6"/>
      <c r="F269" s="7"/>
    </row>
    <row r="270" spans="1:6" ht="15">
      <c r="A270" s="11" t="s">
        <v>435</v>
      </c>
      <c r="B270" s="10" t="s">
        <v>436</v>
      </c>
      <c r="C270" s="11" t="s">
        <v>33</v>
      </c>
      <c r="D270" s="19">
        <v>9.2</v>
      </c>
      <c r="E270" s="8">
        <f>8+14+11+8</f>
        <v>41</v>
      </c>
      <c r="F270" s="92">
        <f t="shared" si="10"/>
        <v>377.2</v>
      </c>
    </row>
    <row r="271" spans="1:6" ht="15">
      <c r="A271" s="11" t="s">
        <v>437</v>
      </c>
      <c r="B271" s="10" t="s">
        <v>438</v>
      </c>
      <c r="C271" s="11" t="s">
        <v>33</v>
      </c>
      <c r="D271" s="19">
        <v>16.15</v>
      </c>
      <c r="E271" s="8">
        <f>3+3</f>
        <v>6</v>
      </c>
      <c r="F271" s="92">
        <f t="shared" si="10"/>
        <v>96.89999999999999</v>
      </c>
    </row>
    <row r="272" spans="1:6" ht="15">
      <c r="A272" s="11" t="s">
        <v>439</v>
      </c>
      <c r="B272" s="10" t="s">
        <v>440</v>
      </c>
      <c r="C272" s="11" t="s">
        <v>33</v>
      </c>
      <c r="D272" s="19">
        <v>16.31</v>
      </c>
      <c r="E272" s="8">
        <f>6+3+3</f>
        <v>12</v>
      </c>
      <c r="F272" s="92">
        <f t="shared" si="10"/>
        <v>195.71999999999997</v>
      </c>
    </row>
    <row r="273" spans="1:6" ht="15">
      <c r="A273" s="11" t="s">
        <v>441</v>
      </c>
      <c r="B273" s="10" t="s">
        <v>442</v>
      </c>
      <c r="C273" s="11" t="s">
        <v>33</v>
      </c>
      <c r="D273" s="19">
        <v>26.77</v>
      </c>
      <c r="E273" s="8">
        <v>3</v>
      </c>
      <c r="F273" s="92">
        <f t="shared" si="10"/>
        <v>80.31</v>
      </c>
    </row>
    <row r="274" spans="1:6" ht="15">
      <c r="A274" s="11" t="s">
        <v>443</v>
      </c>
      <c r="B274" s="10" t="s">
        <v>444</v>
      </c>
      <c r="C274" s="11" t="s">
        <v>33</v>
      </c>
      <c r="D274" s="19">
        <v>49.79</v>
      </c>
      <c r="E274" s="8">
        <v>12</v>
      </c>
      <c r="F274" s="92">
        <f t="shared" si="10"/>
        <v>597.48</v>
      </c>
    </row>
    <row r="275" spans="1:6" ht="15">
      <c r="A275" s="113" t="s">
        <v>588</v>
      </c>
      <c r="B275" s="114"/>
      <c r="C275" s="114"/>
      <c r="D275" s="114"/>
      <c r="E275" s="115"/>
      <c r="F275" s="12">
        <f>SUM(F215:F274)</f>
        <v>51256.738499999985</v>
      </c>
    </row>
    <row r="276" spans="1:6" ht="15">
      <c r="A276" s="20" t="s">
        <v>445</v>
      </c>
      <c r="B276" s="25" t="s">
        <v>446</v>
      </c>
      <c r="C276" s="21"/>
      <c r="D276" s="44"/>
      <c r="E276" s="3"/>
      <c r="F276" s="4"/>
    </row>
    <row r="277" spans="1:6" ht="15">
      <c r="A277" s="29" t="s">
        <v>447</v>
      </c>
      <c r="B277" s="26" t="s">
        <v>448</v>
      </c>
      <c r="C277" s="22"/>
      <c r="D277" s="45"/>
      <c r="E277" s="6"/>
      <c r="F277" s="7"/>
    </row>
    <row r="278" spans="1:6" ht="45">
      <c r="A278" s="11" t="s">
        <v>449</v>
      </c>
      <c r="B278" s="10" t="s">
        <v>450</v>
      </c>
      <c r="C278" s="11" t="s">
        <v>33</v>
      </c>
      <c r="D278" s="19">
        <v>186.94</v>
      </c>
      <c r="E278" s="8">
        <v>2</v>
      </c>
      <c r="F278" s="9">
        <f aca="true" t="shared" si="11" ref="F278:F284">E278*D278</f>
        <v>373.88</v>
      </c>
    </row>
    <row r="279" spans="1:6" ht="60">
      <c r="A279" s="11" t="s">
        <v>451</v>
      </c>
      <c r="B279" s="10" t="s">
        <v>452</v>
      </c>
      <c r="C279" s="11" t="s">
        <v>33</v>
      </c>
      <c r="D279" s="19">
        <v>187.57</v>
      </c>
      <c r="E279" s="8">
        <v>2</v>
      </c>
      <c r="F279" s="9">
        <f t="shared" si="11"/>
        <v>375.14</v>
      </c>
    </row>
    <row r="280" spans="1:6" ht="45">
      <c r="A280" s="11">
        <v>160612</v>
      </c>
      <c r="B280" s="10" t="s">
        <v>607</v>
      </c>
      <c r="C280" s="11" t="s">
        <v>33</v>
      </c>
      <c r="D280" s="19">
        <v>32.28</v>
      </c>
      <c r="E280" s="8">
        <v>2</v>
      </c>
      <c r="F280" s="9">
        <f>D280*E280</f>
        <v>64.56</v>
      </c>
    </row>
    <row r="281" spans="1:6" ht="15">
      <c r="A281" s="29" t="s">
        <v>453</v>
      </c>
      <c r="B281" s="26" t="s">
        <v>454</v>
      </c>
      <c r="C281" s="22"/>
      <c r="D281" s="45"/>
      <c r="E281" s="6"/>
      <c r="F281" s="7"/>
    </row>
    <row r="282" spans="1:6" ht="15">
      <c r="A282" s="11" t="s">
        <v>455</v>
      </c>
      <c r="B282" s="10" t="s">
        <v>456</v>
      </c>
      <c r="C282" s="11" t="s">
        <v>33</v>
      </c>
      <c r="D282" s="19">
        <v>25.38</v>
      </c>
      <c r="E282" s="8">
        <v>20</v>
      </c>
      <c r="F282" s="9">
        <f t="shared" si="11"/>
        <v>507.59999999999997</v>
      </c>
    </row>
    <row r="283" spans="1:6" ht="15">
      <c r="A283" s="11" t="s">
        <v>457</v>
      </c>
      <c r="B283" s="10" t="s">
        <v>458</v>
      </c>
      <c r="C283" s="11" t="s">
        <v>33</v>
      </c>
      <c r="D283" s="19">
        <v>10.04</v>
      </c>
      <c r="E283" s="8">
        <v>35</v>
      </c>
      <c r="F283" s="9">
        <f t="shared" si="11"/>
        <v>351.4</v>
      </c>
    </row>
    <row r="284" spans="1:6" ht="15">
      <c r="A284" s="51" t="s">
        <v>459</v>
      </c>
      <c r="B284" s="52" t="s">
        <v>460</v>
      </c>
      <c r="C284" s="51" t="s">
        <v>30</v>
      </c>
      <c r="D284" s="53">
        <v>6.95</v>
      </c>
      <c r="E284" s="54">
        <f>232.9+356.9+100</f>
        <v>689.8</v>
      </c>
      <c r="F284" s="55">
        <f t="shared" si="11"/>
        <v>4794.11</v>
      </c>
    </row>
    <row r="285" spans="1:6" ht="30">
      <c r="A285" s="91" t="s">
        <v>656</v>
      </c>
      <c r="B285" s="81" t="s">
        <v>655</v>
      </c>
      <c r="C285" s="91" t="s">
        <v>33</v>
      </c>
      <c r="D285" s="92">
        <v>87.16367741774002</v>
      </c>
      <c r="E285" s="91">
        <v>4</v>
      </c>
      <c r="F285" s="92">
        <f>E285*D285</f>
        <v>348.6547096709601</v>
      </c>
    </row>
    <row r="286" spans="1:6" ht="30">
      <c r="A286" s="91" t="s">
        <v>658</v>
      </c>
      <c r="B286" s="81" t="s">
        <v>657</v>
      </c>
      <c r="C286" s="91" t="s">
        <v>33</v>
      </c>
      <c r="D286" s="92">
        <v>154.92848390557998</v>
      </c>
      <c r="E286" s="91">
        <v>5</v>
      </c>
      <c r="F286" s="92">
        <f>E286*D286</f>
        <v>774.6424195278998</v>
      </c>
    </row>
    <row r="287" spans="1:6" ht="15">
      <c r="A287" s="113" t="s">
        <v>587</v>
      </c>
      <c r="B287" s="114"/>
      <c r="C287" s="114"/>
      <c r="D287" s="114"/>
      <c r="E287" s="115"/>
      <c r="F287" s="50">
        <f>SUM(F278:F286)</f>
        <v>7589.987129198859</v>
      </c>
    </row>
    <row r="288" spans="1:6" ht="15">
      <c r="A288" s="20" t="s">
        <v>461</v>
      </c>
      <c r="B288" s="25" t="s">
        <v>462</v>
      </c>
      <c r="C288" s="21"/>
      <c r="D288" s="44"/>
      <c r="E288" s="3"/>
      <c r="F288" s="4"/>
    </row>
    <row r="289" spans="1:6" ht="15">
      <c r="A289" s="29" t="s">
        <v>463</v>
      </c>
      <c r="B289" s="26" t="s">
        <v>464</v>
      </c>
      <c r="C289" s="22"/>
      <c r="D289" s="45"/>
      <c r="E289" s="6"/>
      <c r="F289" s="7"/>
    </row>
    <row r="290" spans="1:6" ht="45">
      <c r="A290" s="11" t="s">
        <v>628</v>
      </c>
      <c r="B290" s="10" t="s">
        <v>629</v>
      </c>
      <c r="C290" s="11" t="s">
        <v>33</v>
      </c>
      <c r="D290" s="19">
        <v>475.86</v>
      </c>
      <c r="E290" s="9">
        <v>2</v>
      </c>
      <c r="F290" s="92">
        <f aca="true" t="shared" si="12" ref="F290:F303">E290*D290</f>
        <v>951.72</v>
      </c>
    </row>
    <row r="291" spans="1:6" ht="45">
      <c r="A291" s="11" t="s">
        <v>465</v>
      </c>
      <c r="B291" s="10" t="s">
        <v>466</v>
      </c>
      <c r="C291" s="11" t="s">
        <v>33</v>
      </c>
      <c r="D291" s="19">
        <v>1321.63</v>
      </c>
      <c r="E291" s="9">
        <v>2</v>
      </c>
      <c r="F291" s="92">
        <f t="shared" si="12"/>
        <v>2643.26</v>
      </c>
    </row>
    <row r="292" spans="1:6" ht="75">
      <c r="A292" s="30" t="s">
        <v>605</v>
      </c>
      <c r="B292" s="34" t="s">
        <v>604</v>
      </c>
      <c r="C292" s="11" t="s">
        <v>33</v>
      </c>
      <c r="D292" s="19">
        <v>1733.61</v>
      </c>
      <c r="E292" s="9">
        <v>2</v>
      </c>
      <c r="F292" s="92">
        <f t="shared" si="12"/>
        <v>3467.22</v>
      </c>
    </row>
    <row r="293" spans="1:6" ht="30">
      <c r="A293" s="23">
        <v>170133</v>
      </c>
      <c r="B293" s="27" t="s">
        <v>603</v>
      </c>
      <c r="C293" s="23" t="s">
        <v>33</v>
      </c>
      <c r="D293" s="47">
        <v>286.88</v>
      </c>
      <c r="E293" s="13">
        <v>2</v>
      </c>
      <c r="F293" s="92">
        <f>D293*E293</f>
        <v>573.76</v>
      </c>
    </row>
    <row r="294" spans="1:6" ht="60">
      <c r="A294" s="11" t="s">
        <v>467</v>
      </c>
      <c r="B294" s="10" t="s">
        <v>468</v>
      </c>
      <c r="C294" s="11" t="s">
        <v>33</v>
      </c>
      <c r="D294" s="19">
        <v>849.78</v>
      </c>
      <c r="E294" s="8">
        <v>6</v>
      </c>
      <c r="F294" s="92">
        <f t="shared" si="12"/>
        <v>5098.68</v>
      </c>
    </row>
    <row r="295" spans="1:6" ht="15">
      <c r="A295" s="32" t="s">
        <v>469</v>
      </c>
      <c r="B295" s="28" t="s">
        <v>470</v>
      </c>
      <c r="C295" s="24"/>
      <c r="D295" s="48"/>
      <c r="E295" s="15"/>
      <c r="F295" s="16"/>
    </row>
    <row r="296" spans="1:6" ht="15">
      <c r="A296" s="11" t="s">
        <v>471</v>
      </c>
      <c r="B296" s="10" t="s">
        <v>472</v>
      </c>
      <c r="C296" s="11" t="s">
        <v>9</v>
      </c>
      <c r="D296" s="19">
        <v>371.76</v>
      </c>
      <c r="E296" s="8">
        <f>1.47+0.8+0.5+1.2+1.15</f>
        <v>5.119999999999999</v>
      </c>
      <c r="F296" s="92">
        <f t="shared" si="12"/>
        <v>1903.4111999999996</v>
      </c>
    </row>
    <row r="297" spans="1:6" ht="28.5">
      <c r="A297" s="32" t="s">
        <v>575</v>
      </c>
      <c r="B297" s="28" t="s">
        <v>473</v>
      </c>
      <c r="C297" s="24"/>
      <c r="D297" s="48"/>
      <c r="E297" s="15"/>
      <c r="F297" s="16"/>
    </row>
    <row r="298" spans="1:6" ht="30">
      <c r="A298" s="11">
        <v>170306</v>
      </c>
      <c r="B298" s="27" t="s">
        <v>606</v>
      </c>
      <c r="C298" s="41" t="s">
        <v>33</v>
      </c>
      <c r="D298" s="49">
        <v>85.83</v>
      </c>
      <c r="E298" s="42">
        <v>2</v>
      </c>
      <c r="F298" s="82">
        <f>D298*E298</f>
        <v>171.66</v>
      </c>
    </row>
    <row r="299" spans="1:6" ht="30">
      <c r="A299" s="11" t="s">
        <v>612</v>
      </c>
      <c r="B299" s="27" t="s">
        <v>613</v>
      </c>
      <c r="C299" s="41" t="s">
        <v>33</v>
      </c>
      <c r="D299" s="49">
        <v>79.77</v>
      </c>
      <c r="E299" s="42">
        <v>2</v>
      </c>
      <c r="F299" s="82">
        <f>D299*E299</f>
        <v>159.54</v>
      </c>
    </row>
    <row r="300" spans="1:6" ht="15">
      <c r="A300" s="11" t="s">
        <v>474</v>
      </c>
      <c r="B300" s="10" t="s">
        <v>475</v>
      </c>
      <c r="C300" s="11" t="s">
        <v>33</v>
      </c>
      <c r="D300" s="19">
        <v>64.73</v>
      </c>
      <c r="E300" s="8">
        <v>1</v>
      </c>
      <c r="F300" s="92">
        <f t="shared" si="12"/>
        <v>64.73</v>
      </c>
    </row>
    <row r="301" spans="1:6" ht="15">
      <c r="A301" s="11" t="s">
        <v>476</v>
      </c>
      <c r="B301" s="10" t="s">
        <v>477</v>
      </c>
      <c r="C301" s="11" t="s">
        <v>33</v>
      </c>
      <c r="D301" s="19">
        <v>164.37</v>
      </c>
      <c r="E301" s="8">
        <v>4</v>
      </c>
      <c r="F301" s="92">
        <f t="shared" si="12"/>
        <v>657.48</v>
      </c>
    </row>
    <row r="302" spans="1:6" ht="30">
      <c r="A302" s="40" t="s">
        <v>478</v>
      </c>
      <c r="B302" s="10" t="s">
        <v>479</v>
      </c>
      <c r="C302" s="11" t="s">
        <v>33</v>
      </c>
      <c r="D302" s="19">
        <v>81.16</v>
      </c>
      <c r="E302" s="8">
        <v>9</v>
      </c>
      <c r="F302" s="92">
        <f t="shared" si="12"/>
        <v>730.4399999999999</v>
      </c>
    </row>
    <row r="303" spans="1:6" ht="30">
      <c r="A303" s="40" t="s">
        <v>480</v>
      </c>
      <c r="B303" s="10" t="s">
        <v>481</v>
      </c>
      <c r="C303" s="11" t="s">
        <v>33</v>
      </c>
      <c r="D303" s="19">
        <v>107.52</v>
      </c>
      <c r="E303" s="8">
        <v>1</v>
      </c>
      <c r="F303" s="92">
        <f t="shared" si="12"/>
        <v>107.52</v>
      </c>
    </row>
    <row r="304" spans="1:6" ht="30">
      <c r="A304" s="11" t="s">
        <v>482</v>
      </c>
      <c r="B304" s="10" t="s">
        <v>483</v>
      </c>
      <c r="C304" s="11" t="s">
        <v>33</v>
      </c>
      <c r="D304" s="19">
        <v>335.89</v>
      </c>
      <c r="E304" s="8">
        <v>1</v>
      </c>
      <c r="F304" s="92">
        <f aca="true" t="shared" si="13" ref="F304:F324">E304*D304</f>
        <v>335.89</v>
      </c>
    </row>
    <row r="305" spans="1:10" ht="30">
      <c r="A305" s="11" t="s">
        <v>484</v>
      </c>
      <c r="B305" s="10" t="s">
        <v>485</v>
      </c>
      <c r="C305" s="11" t="s">
        <v>33</v>
      </c>
      <c r="D305" s="19">
        <v>358.54</v>
      </c>
      <c r="E305" s="8">
        <v>6</v>
      </c>
      <c r="F305" s="92">
        <f t="shared" si="13"/>
        <v>2151.2400000000002</v>
      </c>
      <c r="J305" s="76"/>
    </row>
    <row r="306" spans="1:6" ht="15">
      <c r="A306" s="32" t="s">
        <v>486</v>
      </c>
      <c r="B306" s="28" t="s">
        <v>487</v>
      </c>
      <c r="C306" s="24"/>
      <c r="D306" s="48"/>
      <c r="E306" s="15"/>
      <c r="F306" s="16"/>
    </row>
    <row r="307" spans="1:6" ht="45">
      <c r="A307" s="11" t="s">
        <v>488</v>
      </c>
      <c r="B307" s="10" t="s">
        <v>489</v>
      </c>
      <c r="C307" s="11" t="s">
        <v>33</v>
      </c>
      <c r="D307" s="19">
        <v>465.05</v>
      </c>
      <c r="E307" s="8">
        <v>1</v>
      </c>
      <c r="F307" s="92">
        <f t="shared" si="13"/>
        <v>465.05</v>
      </c>
    </row>
    <row r="308" spans="1:6" ht="60">
      <c r="A308" s="30" t="s">
        <v>614</v>
      </c>
      <c r="B308" s="10" t="s">
        <v>490</v>
      </c>
      <c r="C308" s="11" t="s">
        <v>33</v>
      </c>
      <c r="D308" s="19">
        <v>1514.67</v>
      </c>
      <c r="E308" s="9">
        <v>1</v>
      </c>
      <c r="F308" s="92">
        <f t="shared" si="13"/>
        <v>1514.67</v>
      </c>
    </row>
    <row r="309" spans="1:6" ht="45">
      <c r="A309" s="11" t="s">
        <v>491</v>
      </c>
      <c r="B309" s="10" t="s">
        <v>492</v>
      </c>
      <c r="C309" s="11" t="s">
        <v>33</v>
      </c>
      <c r="D309" s="19">
        <v>267.06</v>
      </c>
      <c r="E309" s="8">
        <v>8</v>
      </c>
      <c r="F309" s="92">
        <f t="shared" si="13"/>
        <v>2136.48</v>
      </c>
    </row>
    <row r="310" spans="1:6" ht="30">
      <c r="A310" s="11" t="s">
        <v>493</v>
      </c>
      <c r="B310" s="10" t="s">
        <v>494</v>
      </c>
      <c r="C310" s="11" t="s">
        <v>33</v>
      </c>
      <c r="D310" s="19">
        <v>66.54</v>
      </c>
      <c r="E310" s="13">
        <v>10</v>
      </c>
      <c r="F310" s="92">
        <f t="shared" si="13"/>
        <v>665.4000000000001</v>
      </c>
    </row>
    <row r="311" spans="1:6" ht="30">
      <c r="A311" s="11" t="s">
        <v>601</v>
      </c>
      <c r="B311" s="10" t="s">
        <v>602</v>
      </c>
      <c r="C311" s="11" t="s">
        <v>33</v>
      </c>
      <c r="D311" s="19">
        <v>1015.38</v>
      </c>
      <c r="E311" s="8">
        <v>1</v>
      </c>
      <c r="F311" s="92">
        <f t="shared" si="13"/>
        <v>1015.38</v>
      </c>
    </row>
    <row r="312" spans="1:6" ht="30">
      <c r="A312" s="11" t="s">
        <v>608</v>
      </c>
      <c r="B312" s="10" t="s">
        <v>609</v>
      </c>
      <c r="C312" s="11" t="s">
        <v>33</v>
      </c>
      <c r="D312" s="19">
        <v>195.76</v>
      </c>
      <c r="E312" s="8">
        <v>1</v>
      </c>
      <c r="F312" s="92">
        <f t="shared" si="13"/>
        <v>195.76</v>
      </c>
    </row>
    <row r="313" spans="1:6" ht="30">
      <c r="A313" s="11" t="s">
        <v>495</v>
      </c>
      <c r="B313" s="10" t="s">
        <v>496</v>
      </c>
      <c r="C313" s="11" t="s">
        <v>33</v>
      </c>
      <c r="D313" s="19">
        <v>2915.43</v>
      </c>
      <c r="E313" s="9">
        <v>1</v>
      </c>
      <c r="F313" s="92">
        <f t="shared" si="13"/>
        <v>2915.43</v>
      </c>
    </row>
    <row r="314" spans="1:6" s="104" customFormat="1" ht="60">
      <c r="A314" s="95" t="s">
        <v>659</v>
      </c>
      <c r="B314" s="96" t="s">
        <v>639</v>
      </c>
      <c r="C314" s="95" t="s">
        <v>33</v>
      </c>
      <c r="D314" s="102">
        <v>1145.37</v>
      </c>
      <c r="E314" s="92">
        <v>2</v>
      </c>
      <c r="F314" s="92">
        <f>E314*D314</f>
        <v>2290.74</v>
      </c>
    </row>
    <row r="315" spans="1:6" s="104" customFormat="1" ht="30">
      <c r="A315" s="95" t="s">
        <v>660</v>
      </c>
      <c r="B315" s="96" t="s">
        <v>638</v>
      </c>
      <c r="C315" s="95" t="s">
        <v>33</v>
      </c>
      <c r="D315" s="102">
        <v>254.625</v>
      </c>
      <c r="E315" s="92">
        <v>4</v>
      </c>
      <c r="F315" s="92">
        <f>E315*D315</f>
        <v>1018.5</v>
      </c>
    </row>
    <row r="316" spans="1:6" ht="15">
      <c r="A316" s="113" t="s">
        <v>589</v>
      </c>
      <c r="B316" s="114"/>
      <c r="C316" s="114"/>
      <c r="D316" s="114"/>
      <c r="E316" s="115"/>
      <c r="F316" s="12">
        <f>SUM(F290:F315)</f>
        <v>31233.961200000005</v>
      </c>
    </row>
    <row r="317" spans="1:6" ht="15">
      <c r="A317" s="20" t="s">
        <v>497</v>
      </c>
      <c r="B317" s="25" t="s">
        <v>498</v>
      </c>
      <c r="C317" s="21"/>
      <c r="D317" s="44"/>
      <c r="E317" s="3"/>
      <c r="F317" s="4"/>
    </row>
    <row r="318" spans="1:6" ht="15">
      <c r="A318" s="32" t="s">
        <v>499</v>
      </c>
      <c r="B318" s="28" t="s">
        <v>500</v>
      </c>
      <c r="C318" s="24"/>
      <c r="D318" s="48"/>
      <c r="E318" s="15"/>
      <c r="F318" s="16"/>
    </row>
    <row r="319" spans="1:6" ht="60">
      <c r="A319" s="11" t="s">
        <v>501</v>
      </c>
      <c r="B319" s="10" t="s">
        <v>502</v>
      </c>
      <c r="C319" s="11" t="s">
        <v>33</v>
      </c>
      <c r="D319" s="19">
        <v>98.54</v>
      </c>
      <c r="E319" s="8">
        <v>4</v>
      </c>
      <c r="F319" s="9">
        <f t="shared" si="13"/>
        <v>394.16</v>
      </c>
    </row>
    <row r="320" spans="1:6" ht="15">
      <c r="A320" s="11" t="s">
        <v>503</v>
      </c>
      <c r="B320" s="10" t="s">
        <v>504</v>
      </c>
      <c r="C320" s="11" t="s">
        <v>33</v>
      </c>
      <c r="D320" s="19">
        <v>93.29</v>
      </c>
      <c r="E320" s="8">
        <v>2</v>
      </c>
      <c r="F320" s="9">
        <f t="shared" si="13"/>
        <v>186.58</v>
      </c>
    </row>
    <row r="321" spans="1:6" ht="75">
      <c r="A321" s="11" t="s">
        <v>505</v>
      </c>
      <c r="B321" s="10" t="s">
        <v>506</v>
      </c>
      <c r="C321" s="11" t="s">
        <v>33</v>
      </c>
      <c r="D321" s="19">
        <v>184.61</v>
      </c>
      <c r="E321" s="8">
        <v>26</v>
      </c>
      <c r="F321" s="9">
        <f t="shared" si="13"/>
        <v>4799.860000000001</v>
      </c>
    </row>
    <row r="322" spans="1:6" ht="75">
      <c r="A322" s="11" t="s">
        <v>507</v>
      </c>
      <c r="B322" s="10" t="s">
        <v>508</v>
      </c>
      <c r="C322" s="11" t="s">
        <v>33</v>
      </c>
      <c r="D322" s="19">
        <v>243.06</v>
      </c>
      <c r="E322" s="8">
        <v>24</v>
      </c>
      <c r="F322" s="9">
        <f t="shared" si="13"/>
        <v>5833.4400000000005</v>
      </c>
    </row>
    <row r="323" spans="1:6" ht="75">
      <c r="A323" s="11" t="s">
        <v>509</v>
      </c>
      <c r="B323" s="10" t="s">
        <v>510</v>
      </c>
      <c r="C323" s="11" t="s">
        <v>33</v>
      </c>
      <c r="D323" s="19">
        <v>209.03</v>
      </c>
      <c r="E323" s="8">
        <v>4</v>
      </c>
      <c r="F323" s="9">
        <f t="shared" si="13"/>
        <v>836.12</v>
      </c>
    </row>
    <row r="324" spans="1:6" ht="75">
      <c r="A324" s="23">
        <v>180124</v>
      </c>
      <c r="B324" s="27" t="s">
        <v>574</v>
      </c>
      <c r="C324" s="23" t="s">
        <v>33</v>
      </c>
      <c r="D324" s="47">
        <v>265.45</v>
      </c>
      <c r="E324" s="13">
        <v>6</v>
      </c>
      <c r="F324" s="14">
        <f t="shared" si="13"/>
        <v>1592.6999999999998</v>
      </c>
    </row>
    <row r="325" spans="1:6" ht="15">
      <c r="A325" s="32">
        <v>1802</v>
      </c>
      <c r="B325" s="28" t="s">
        <v>511</v>
      </c>
      <c r="C325" s="24"/>
      <c r="D325" s="48"/>
      <c r="E325" s="15"/>
      <c r="F325" s="16"/>
    </row>
    <row r="326" spans="1:6" ht="30">
      <c r="A326" s="11">
        <v>180201</v>
      </c>
      <c r="B326" s="10" t="s">
        <v>512</v>
      </c>
      <c r="C326" s="11" t="s">
        <v>33</v>
      </c>
      <c r="D326" s="19">
        <v>27.53</v>
      </c>
      <c r="E326" s="8">
        <v>57</v>
      </c>
      <c r="F326" s="9">
        <f aca="true" t="shared" si="14" ref="F326:F343">E326*D326</f>
        <v>1569.21</v>
      </c>
    </row>
    <row r="327" spans="1:6" s="59" customFormat="1" ht="30">
      <c r="A327" s="23">
        <v>180202</v>
      </c>
      <c r="B327" s="27" t="s">
        <v>513</v>
      </c>
      <c r="C327" s="23" t="s">
        <v>33</v>
      </c>
      <c r="D327" s="47">
        <v>32.06</v>
      </c>
      <c r="E327" s="13">
        <v>2</v>
      </c>
      <c r="F327" s="14">
        <f t="shared" si="14"/>
        <v>64.12</v>
      </c>
    </row>
    <row r="328" spans="1:6" ht="30">
      <c r="A328" s="11" t="s">
        <v>514</v>
      </c>
      <c r="B328" s="10" t="s">
        <v>515</v>
      </c>
      <c r="C328" s="11" t="s">
        <v>33</v>
      </c>
      <c r="D328" s="19">
        <v>22.96</v>
      </c>
      <c r="E328" s="8">
        <v>14</v>
      </c>
      <c r="F328" s="9">
        <f t="shared" si="14"/>
        <v>321.44</v>
      </c>
    </row>
    <row r="329" spans="1:6" ht="30">
      <c r="A329" s="11" t="s">
        <v>516</v>
      </c>
      <c r="B329" s="10" t="s">
        <v>517</v>
      </c>
      <c r="C329" s="11" t="s">
        <v>33</v>
      </c>
      <c r="D329" s="19">
        <v>33.38</v>
      </c>
      <c r="E329" s="8">
        <v>2</v>
      </c>
      <c r="F329" s="9">
        <f t="shared" si="14"/>
        <v>66.76</v>
      </c>
    </row>
    <row r="330" spans="1:6" ht="30">
      <c r="A330" s="11" t="s">
        <v>518</v>
      </c>
      <c r="B330" s="10" t="s">
        <v>519</v>
      </c>
      <c r="C330" s="11" t="s">
        <v>33</v>
      </c>
      <c r="D330" s="19">
        <v>28.17</v>
      </c>
      <c r="E330" s="8">
        <v>2</v>
      </c>
      <c r="F330" s="9">
        <f t="shared" si="14"/>
        <v>56.34</v>
      </c>
    </row>
    <row r="331" spans="1:6" ht="15">
      <c r="A331" s="11" t="s">
        <v>520</v>
      </c>
      <c r="B331" s="10" t="s">
        <v>521</v>
      </c>
      <c r="C331" s="11" t="s">
        <v>33</v>
      </c>
      <c r="D331" s="19">
        <v>30.15</v>
      </c>
      <c r="E331" s="8">
        <v>4</v>
      </c>
      <c r="F331" s="9">
        <f t="shared" si="14"/>
        <v>120.6</v>
      </c>
    </row>
    <row r="332" spans="1:6" ht="30">
      <c r="A332" s="30" t="s">
        <v>732</v>
      </c>
      <c r="B332" s="89" t="s">
        <v>725</v>
      </c>
      <c r="C332" s="90" t="s">
        <v>33</v>
      </c>
      <c r="D332" s="94">
        <v>77.82</v>
      </c>
      <c r="E332" s="87">
        <v>1</v>
      </c>
      <c r="F332" s="88">
        <v>77.82</v>
      </c>
    </row>
    <row r="333" spans="1:6" ht="15">
      <c r="A333" s="11" t="s">
        <v>522</v>
      </c>
      <c r="B333" s="10" t="s">
        <v>523</v>
      </c>
      <c r="C333" s="11" t="s">
        <v>33</v>
      </c>
      <c r="D333" s="19">
        <v>7.79</v>
      </c>
      <c r="E333" s="8">
        <v>10</v>
      </c>
      <c r="F333" s="9">
        <f t="shared" si="14"/>
        <v>77.9</v>
      </c>
    </row>
    <row r="334" spans="1:6" ht="15">
      <c r="A334" s="11" t="s">
        <v>524</v>
      </c>
      <c r="B334" s="10" t="s">
        <v>525</v>
      </c>
      <c r="C334" s="11" t="s">
        <v>33</v>
      </c>
      <c r="D334" s="19">
        <v>14.66</v>
      </c>
      <c r="E334" s="8">
        <v>1</v>
      </c>
      <c r="F334" s="9">
        <f t="shared" si="14"/>
        <v>14.66</v>
      </c>
    </row>
    <row r="335" spans="1:6" ht="15">
      <c r="A335" s="11" t="s">
        <v>526</v>
      </c>
      <c r="B335" s="10" t="s">
        <v>527</v>
      </c>
      <c r="C335" s="11" t="s">
        <v>33</v>
      </c>
      <c r="D335" s="19">
        <v>18.8</v>
      </c>
      <c r="E335" s="8">
        <v>1</v>
      </c>
      <c r="F335" s="9">
        <f t="shared" si="14"/>
        <v>18.8</v>
      </c>
    </row>
    <row r="336" spans="1:6" ht="15">
      <c r="A336" s="32" t="s">
        <v>528</v>
      </c>
      <c r="B336" s="28" t="s">
        <v>487</v>
      </c>
      <c r="C336" s="24"/>
      <c r="D336" s="48"/>
      <c r="E336" s="15"/>
      <c r="F336" s="16"/>
    </row>
    <row r="337" spans="1:6" ht="15">
      <c r="A337" s="11" t="s">
        <v>529</v>
      </c>
      <c r="B337" s="10" t="s">
        <v>530</v>
      </c>
      <c r="C337" s="11" t="s">
        <v>33</v>
      </c>
      <c r="D337" s="19">
        <v>75.62</v>
      </c>
      <c r="E337" s="8">
        <v>4</v>
      </c>
      <c r="F337" s="9">
        <f t="shared" si="14"/>
        <v>302.48</v>
      </c>
    </row>
    <row r="338" spans="1:6" ht="15">
      <c r="A338" s="113" t="s">
        <v>590</v>
      </c>
      <c r="B338" s="114"/>
      <c r="C338" s="114"/>
      <c r="D338" s="114"/>
      <c r="E338" s="115"/>
      <c r="F338" s="12">
        <f>SUM(F319:F337)</f>
        <v>16332.99</v>
      </c>
    </row>
    <row r="339" spans="1:6" ht="15">
      <c r="A339" s="20" t="s">
        <v>531</v>
      </c>
      <c r="B339" s="25" t="s">
        <v>532</v>
      </c>
      <c r="C339" s="21"/>
      <c r="D339" s="44"/>
      <c r="E339" s="3"/>
      <c r="F339" s="4"/>
    </row>
    <row r="340" spans="1:6" ht="15">
      <c r="A340" s="32" t="s">
        <v>533</v>
      </c>
      <c r="B340" s="28" t="s">
        <v>534</v>
      </c>
      <c r="C340" s="24"/>
      <c r="D340" s="48"/>
      <c r="E340" s="15"/>
      <c r="F340" s="16"/>
    </row>
    <row r="341" spans="1:6" ht="45">
      <c r="A341" s="11" t="s">
        <v>535</v>
      </c>
      <c r="B341" s="10" t="s">
        <v>536</v>
      </c>
      <c r="C341" s="11" t="s">
        <v>9</v>
      </c>
      <c r="D341" s="19">
        <v>11.74</v>
      </c>
      <c r="E341" s="8">
        <f>381.85+10+30</f>
        <v>421.85</v>
      </c>
      <c r="F341" s="9">
        <f t="shared" si="14"/>
        <v>4952.519</v>
      </c>
    </row>
    <row r="342" spans="1:6" ht="45">
      <c r="A342" s="11" t="s">
        <v>537</v>
      </c>
      <c r="B342" s="10" t="s">
        <v>538</v>
      </c>
      <c r="C342" s="11" t="s">
        <v>9</v>
      </c>
      <c r="D342" s="19">
        <v>19.95</v>
      </c>
      <c r="E342" s="8">
        <f>170.95+20</f>
        <v>190.95</v>
      </c>
      <c r="F342" s="9">
        <f t="shared" si="14"/>
        <v>3809.4524999999994</v>
      </c>
    </row>
    <row r="343" spans="1:10" ht="45">
      <c r="A343" s="11" t="s">
        <v>599</v>
      </c>
      <c r="B343" s="10" t="s">
        <v>600</v>
      </c>
      <c r="C343" s="11" t="s">
        <v>9</v>
      </c>
      <c r="D343" s="19">
        <v>21.06</v>
      </c>
      <c r="E343" s="8">
        <f>747.07+30+50</f>
        <v>827.07</v>
      </c>
      <c r="F343" s="9">
        <f t="shared" si="14"/>
        <v>17418.0942</v>
      </c>
      <c r="J343" s="76">
        <f>F341+F342+186.08</f>
        <v>8948.0515</v>
      </c>
    </row>
    <row r="344" spans="1:6" ht="15">
      <c r="A344" s="32" t="s">
        <v>620</v>
      </c>
      <c r="B344" s="28" t="s">
        <v>621</v>
      </c>
      <c r="C344" s="24"/>
      <c r="D344" s="48"/>
      <c r="E344" s="15"/>
      <c r="F344" s="16"/>
    </row>
    <row r="345" spans="1:6" ht="45">
      <c r="A345" s="11" t="s">
        <v>622</v>
      </c>
      <c r="B345" s="10" t="s">
        <v>623</v>
      </c>
      <c r="C345" s="11" t="s">
        <v>9</v>
      </c>
      <c r="D345" s="19">
        <v>22.4</v>
      </c>
      <c r="E345" s="8">
        <f>17.65*3</f>
        <v>52.949999999999996</v>
      </c>
      <c r="F345" s="9">
        <f>E345*D345</f>
        <v>1186.08</v>
      </c>
    </row>
    <row r="346" spans="1:6" ht="15">
      <c r="A346" s="32" t="s">
        <v>624</v>
      </c>
      <c r="B346" s="28" t="s">
        <v>625</v>
      </c>
      <c r="C346" s="24"/>
      <c r="D346" s="48"/>
      <c r="E346" s="15"/>
      <c r="F346" s="16"/>
    </row>
    <row r="347" spans="1:6" ht="45">
      <c r="A347" s="30" t="s">
        <v>731</v>
      </c>
      <c r="B347" s="10" t="s">
        <v>626</v>
      </c>
      <c r="C347" s="11" t="s">
        <v>9</v>
      </c>
      <c r="D347" s="19">
        <v>18.74</v>
      </c>
      <c r="E347" s="106">
        <f>0.35*10.75*2</f>
        <v>7.5249999999999995</v>
      </c>
      <c r="F347" s="9">
        <f>E347*D347</f>
        <v>141.0185</v>
      </c>
    </row>
    <row r="348" spans="1:6" ht="15">
      <c r="A348" s="113" t="s">
        <v>591</v>
      </c>
      <c r="B348" s="114"/>
      <c r="C348" s="114"/>
      <c r="D348" s="114"/>
      <c r="E348" s="115"/>
      <c r="F348" s="12">
        <f>SUM(F341:F347)</f>
        <v>27507.1642</v>
      </c>
    </row>
    <row r="349" spans="1:6" ht="15">
      <c r="A349" s="20" t="s">
        <v>539</v>
      </c>
      <c r="B349" s="25" t="s">
        <v>540</v>
      </c>
      <c r="C349" s="21"/>
      <c r="D349" s="44"/>
      <c r="E349" s="3"/>
      <c r="F349" s="4"/>
    </row>
    <row r="350" spans="1:6" ht="15">
      <c r="A350" s="32" t="s">
        <v>541</v>
      </c>
      <c r="B350" s="28" t="s">
        <v>542</v>
      </c>
      <c r="C350" s="24"/>
      <c r="D350" s="48"/>
      <c r="E350" s="15"/>
      <c r="F350" s="16"/>
    </row>
    <row r="351" spans="1:11" ht="45">
      <c r="A351" s="11" t="s">
        <v>615</v>
      </c>
      <c r="B351" s="10" t="s">
        <v>616</v>
      </c>
      <c r="C351" s="11" t="s">
        <v>30</v>
      </c>
      <c r="D351" s="19">
        <v>45.16</v>
      </c>
      <c r="E351" s="8">
        <v>38.65</v>
      </c>
      <c r="F351" s="9">
        <f>E351*D351</f>
        <v>1745.4339999999997</v>
      </c>
      <c r="K351" s="76"/>
    </row>
    <row r="352" spans="1:11" ht="60">
      <c r="A352" s="30" t="s">
        <v>730</v>
      </c>
      <c r="B352" s="10" t="s">
        <v>543</v>
      </c>
      <c r="C352" s="11" t="s">
        <v>9</v>
      </c>
      <c r="D352" s="19">
        <v>65.25</v>
      </c>
      <c r="E352" s="8">
        <f>5.97+10.01+2</f>
        <v>17.98</v>
      </c>
      <c r="F352" s="9">
        <f aca="true" t="shared" si="15" ref="F352:F360">E352*D352</f>
        <v>1173.195</v>
      </c>
      <c r="K352" s="76"/>
    </row>
    <row r="353" spans="1:6" ht="15">
      <c r="A353" s="32" t="s">
        <v>544</v>
      </c>
      <c r="B353" s="28" t="s">
        <v>545</v>
      </c>
      <c r="C353" s="24"/>
      <c r="D353" s="48"/>
      <c r="E353" s="15"/>
      <c r="F353" s="16"/>
    </row>
    <row r="354" spans="1:6" ht="15">
      <c r="A354" s="11" t="s">
        <v>546</v>
      </c>
      <c r="B354" s="10" t="s">
        <v>547</v>
      </c>
      <c r="C354" s="11" t="s">
        <v>9</v>
      </c>
      <c r="D354" s="19">
        <v>9.73</v>
      </c>
      <c r="E354" s="8">
        <v>245.14</v>
      </c>
      <c r="F354" s="9">
        <f t="shared" si="15"/>
        <v>2385.2122</v>
      </c>
    </row>
    <row r="355" spans="1:11" ht="15">
      <c r="A355" s="32" t="s">
        <v>548</v>
      </c>
      <c r="B355" s="28" t="s">
        <v>549</v>
      </c>
      <c r="C355" s="24"/>
      <c r="D355" s="48"/>
      <c r="E355" s="15"/>
      <c r="F355" s="16"/>
      <c r="K355" s="76"/>
    </row>
    <row r="356" spans="1:11" ht="30">
      <c r="A356" s="11" t="s">
        <v>550</v>
      </c>
      <c r="B356" s="57" t="s">
        <v>551</v>
      </c>
      <c r="C356" s="11" t="s">
        <v>30</v>
      </c>
      <c r="D356" s="19">
        <v>149.08</v>
      </c>
      <c r="E356" s="8">
        <v>3</v>
      </c>
      <c r="F356" s="9">
        <f t="shared" si="15"/>
        <v>447.24</v>
      </c>
      <c r="K356" s="76"/>
    </row>
    <row r="357" spans="1:11" ht="45">
      <c r="A357" s="11" t="s">
        <v>552</v>
      </c>
      <c r="B357" s="10" t="s">
        <v>553</v>
      </c>
      <c r="C357" s="11" t="s">
        <v>33</v>
      </c>
      <c r="D357" s="19">
        <v>720.07</v>
      </c>
      <c r="E357" s="8">
        <v>1</v>
      </c>
      <c r="F357" s="9">
        <f t="shared" si="15"/>
        <v>720.07</v>
      </c>
      <c r="K357" s="76"/>
    </row>
    <row r="358" spans="1:11" ht="45">
      <c r="A358" s="95" t="s">
        <v>661</v>
      </c>
      <c r="B358" s="96" t="s">
        <v>716</v>
      </c>
      <c r="C358" s="95" t="s">
        <v>33</v>
      </c>
      <c r="D358" s="102">
        <v>1816.892</v>
      </c>
      <c r="E358" s="91">
        <v>2</v>
      </c>
      <c r="F358" s="92">
        <f t="shared" si="15"/>
        <v>3633.784</v>
      </c>
      <c r="K358" s="76"/>
    </row>
    <row r="359" spans="1:11" ht="45">
      <c r="A359" s="95" t="s">
        <v>712</v>
      </c>
      <c r="B359" s="96" t="s">
        <v>715</v>
      </c>
      <c r="C359" s="95" t="s">
        <v>33</v>
      </c>
      <c r="D359" s="102">
        <v>1181.5906666666665</v>
      </c>
      <c r="E359" s="91">
        <v>2</v>
      </c>
      <c r="F359" s="92">
        <f t="shared" si="15"/>
        <v>2363.181333333333</v>
      </c>
      <c r="K359" s="76"/>
    </row>
    <row r="360" spans="1:11" ht="45">
      <c r="A360" s="95" t="s">
        <v>713</v>
      </c>
      <c r="B360" s="96" t="s">
        <v>711</v>
      </c>
      <c r="C360" s="95" t="s">
        <v>33</v>
      </c>
      <c r="D360" s="102">
        <v>2025.8956666666668</v>
      </c>
      <c r="E360" s="91">
        <v>2</v>
      </c>
      <c r="F360" s="92">
        <f t="shared" si="15"/>
        <v>4051.7913333333336</v>
      </c>
      <c r="K360" s="76"/>
    </row>
    <row r="361" spans="1:6" ht="15">
      <c r="A361" s="58" t="s">
        <v>634</v>
      </c>
      <c r="B361" s="28" t="s">
        <v>635</v>
      </c>
      <c r="C361" s="24"/>
      <c r="D361" s="48"/>
      <c r="E361" s="15"/>
      <c r="F361" s="16"/>
    </row>
    <row r="362" spans="1:6" ht="75">
      <c r="A362" s="30" t="s">
        <v>636</v>
      </c>
      <c r="B362" s="57" t="s">
        <v>637</v>
      </c>
      <c r="C362" s="11" t="s">
        <v>9</v>
      </c>
      <c r="D362" s="19">
        <v>94.65</v>
      </c>
      <c r="E362" s="8">
        <v>68</v>
      </c>
      <c r="F362" s="9">
        <f>E362*D362</f>
        <v>6436.200000000001</v>
      </c>
    </row>
    <row r="363" spans="1:6" ht="15">
      <c r="A363" s="113" t="s">
        <v>592</v>
      </c>
      <c r="B363" s="114"/>
      <c r="C363" s="114"/>
      <c r="D363" s="114"/>
      <c r="E363" s="115"/>
      <c r="F363" s="12">
        <f>SUM(F351:F362)</f>
        <v>22956.10786666667</v>
      </c>
    </row>
    <row r="364" spans="1:6" ht="15">
      <c r="A364" s="20" t="s">
        <v>554</v>
      </c>
      <c r="B364" s="25" t="s">
        <v>555</v>
      </c>
      <c r="C364" s="21"/>
      <c r="D364" s="44"/>
      <c r="E364" s="3"/>
      <c r="F364" s="4"/>
    </row>
    <row r="365" spans="1:6" ht="15">
      <c r="A365" s="32" t="s">
        <v>556</v>
      </c>
      <c r="B365" s="28" t="s">
        <v>557</v>
      </c>
      <c r="C365" s="24"/>
      <c r="D365" s="48"/>
      <c r="E365" s="15"/>
      <c r="F365" s="16"/>
    </row>
    <row r="366" spans="1:6" ht="15">
      <c r="A366" s="11" t="s">
        <v>558</v>
      </c>
      <c r="B366" s="10" t="s">
        <v>559</v>
      </c>
      <c r="C366" s="11" t="s">
        <v>9</v>
      </c>
      <c r="D366" s="19">
        <v>254.18</v>
      </c>
      <c r="E366" s="8">
        <v>0.45</v>
      </c>
      <c r="F366" s="9">
        <f>E366*D366</f>
        <v>114.381</v>
      </c>
    </row>
    <row r="367" spans="1:6" ht="15">
      <c r="A367" s="58" t="s">
        <v>665</v>
      </c>
      <c r="B367" s="28" t="s">
        <v>666</v>
      </c>
      <c r="C367" s="24"/>
      <c r="D367" s="48"/>
      <c r="E367" s="15"/>
      <c r="F367" s="16"/>
    </row>
    <row r="368" spans="1:6" ht="45">
      <c r="A368" s="11" t="s">
        <v>610</v>
      </c>
      <c r="B368" s="10" t="s">
        <v>611</v>
      </c>
      <c r="C368" s="11" t="s">
        <v>33</v>
      </c>
      <c r="D368" s="19">
        <v>120.89</v>
      </c>
      <c r="E368" s="8">
        <v>2</v>
      </c>
      <c r="F368" s="9">
        <f>E368*D368</f>
        <v>241.78</v>
      </c>
    </row>
    <row r="369" spans="1:6" ht="60">
      <c r="A369" s="95" t="s">
        <v>714</v>
      </c>
      <c r="B369" s="96" t="s">
        <v>662</v>
      </c>
      <c r="C369" s="95" t="s">
        <v>30</v>
      </c>
      <c r="D369" s="102">
        <v>33.443</v>
      </c>
      <c r="E369" s="91">
        <v>12.92</v>
      </c>
      <c r="F369" s="92">
        <f>E369*D369</f>
        <v>432.08356</v>
      </c>
    </row>
    <row r="370" spans="1:6" ht="60">
      <c r="A370" s="95" t="s">
        <v>771</v>
      </c>
      <c r="B370" s="96" t="s">
        <v>702</v>
      </c>
      <c r="C370" s="95" t="s">
        <v>30</v>
      </c>
      <c r="D370" s="102">
        <v>81.107</v>
      </c>
      <c r="E370" s="91">
        <v>6.4</v>
      </c>
      <c r="F370" s="92">
        <f>E370*D370</f>
        <v>519.0848</v>
      </c>
    </row>
    <row r="371" spans="1:6" ht="15">
      <c r="A371" s="113" t="s">
        <v>627</v>
      </c>
      <c r="B371" s="114"/>
      <c r="C371" s="114"/>
      <c r="D371" s="114"/>
      <c r="E371" s="115"/>
      <c r="F371" s="12">
        <f>SUM(F366:F370)</f>
        <v>1307.32936</v>
      </c>
    </row>
    <row r="372" spans="1:6" ht="15">
      <c r="A372" s="20" t="s">
        <v>560</v>
      </c>
      <c r="B372" s="25" t="s">
        <v>561</v>
      </c>
      <c r="C372" s="21"/>
      <c r="D372" s="44"/>
      <c r="E372" s="3"/>
      <c r="F372" s="4"/>
    </row>
    <row r="373" spans="1:6" ht="28.5">
      <c r="A373" s="32" t="s">
        <v>562</v>
      </c>
      <c r="B373" s="28" t="s">
        <v>563</v>
      </c>
      <c r="C373" s="24"/>
      <c r="D373" s="48"/>
      <c r="E373" s="15"/>
      <c r="F373" s="16"/>
    </row>
    <row r="374" spans="1:6" ht="15">
      <c r="A374" s="11" t="s">
        <v>564</v>
      </c>
      <c r="B374" s="10" t="s">
        <v>565</v>
      </c>
      <c r="C374" s="11" t="s">
        <v>80</v>
      </c>
      <c r="D374" s="19">
        <v>4800.71</v>
      </c>
      <c r="E374" s="9">
        <v>6</v>
      </c>
      <c r="F374" s="9">
        <f>E374*D374</f>
        <v>28804.260000000002</v>
      </c>
    </row>
    <row r="375" spans="1:6" ht="15">
      <c r="A375" s="30" t="s">
        <v>729</v>
      </c>
      <c r="B375" s="10" t="s">
        <v>633</v>
      </c>
      <c r="C375" s="11" t="s">
        <v>80</v>
      </c>
      <c r="D375" s="19">
        <v>1948.64</v>
      </c>
      <c r="E375" s="9">
        <v>12</v>
      </c>
      <c r="F375" s="9">
        <f>E375*D375</f>
        <v>23383.68</v>
      </c>
    </row>
    <row r="376" spans="1:6" ht="15">
      <c r="A376" s="116" t="s">
        <v>593</v>
      </c>
      <c r="B376" s="116"/>
      <c r="C376" s="116"/>
      <c r="D376" s="116"/>
      <c r="E376" s="116"/>
      <c r="F376" s="12">
        <f>SUM(F374:F375)</f>
        <v>52187.94</v>
      </c>
    </row>
    <row r="377" spans="1:6" ht="18.75">
      <c r="A377" s="110" t="s">
        <v>594</v>
      </c>
      <c r="B377" s="111"/>
      <c r="C377" s="111"/>
      <c r="D377" s="111"/>
      <c r="E377" s="112"/>
      <c r="F377" s="56">
        <f>F376+F371+F363+F348+F338+F316+F287+F275+F213+F174+F157+F144+F138+F134+F121+F114+F105+F96+F86+F67+F58+F42</f>
        <v>529273.6215285497</v>
      </c>
    </row>
    <row r="378" ht="74.25" customHeight="1"/>
    <row r="379" spans="1:6" ht="15">
      <c r="A379" s="109" t="s">
        <v>726</v>
      </c>
      <c r="B379" s="109"/>
      <c r="C379" s="109"/>
      <c r="D379" s="109"/>
      <c r="E379" s="109"/>
      <c r="F379" s="109"/>
    </row>
    <row r="380" spans="1:6" ht="15">
      <c r="A380" s="108" t="s">
        <v>769</v>
      </c>
      <c r="B380" s="108"/>
      <c r="C380" s="108"/>
      <c r="D380" s="108"/>
      <c r="E380" s="108"/>
      <c r="F380" s="108"/>
    </row>
  </sheetData>
  <sheetProtection/>
  <mergeCells count="32">
    <mergeCell ref="B7:F7"/>
    <mergeCell ref="A1:F3"/>
    <mergeCell ref="A4:C5"/>
    <mergeCell ref="D4:E4"/>
    <mergeCell ref="D5:E5"/>
    <mergeCell ref="A6:C6"/>
    <mergeCell ref="D6:E6"/>
    <mergeCell ref="A134:E134"/>
    <mergeCell ref="A42:E42"/>
    <mergeCell ref="A58:E58"/>
    <mergeCell ref="A67:E67"/>
    <mergeCell ref="A96:E96"/>
    <mergeCell ref="A105:E105"/>
    <mergeCell ref="A86:E86"/>
    <mergeCell ref="A114:E114"/>
    <mergeCell ref="A121:E121"/>
    <mergeCell ref="A138:E138"/>
    <mergeCell ref="A144:E144"/>
    <mergeCell ref="A157:E157"/>
    <mergeCell ref="A174:E174"/>
    <mergeCell ref="A213:E213"/>
    <mergeCell ref="A275:E275"/>
    <mergeCell ref="A380:F380"/>
    <mergeCell ref="A379:F379"/>
    <mergeCell ref="A377:E377"/>
    <mergeCell ref="A287:E287"/>
    <mergeCell ref="A316:E316"/>
    <mergeCell ref="A338:E338"/>
    <mergeCell ref="A348:E348"/>
    <mergeCell ref="A371:E371"/>
    <mergeCell ref="A376:E376"/>
    <mergeCell ref="A363:E363"/>
  </mergeCells>
  <printOptions/>
  <pageMargins left="0.5905511811023623" right="0.5905511811023623" top="0.7874015748031497" bottom="0.5905511811023623"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R56"/>
  <sheetViews>
    <sheetView view="pageBreakPreview" zoomScale="85" zoomScaleSheetLayoutView="85" zoomScalePageLayoutView="0" workbookViewId="0" topLeftCell="A1">
      <selection activeCell="F23" sqref="F23:F24"/>
    </sheetView>
  </sheetViews>
  <sheetFormatPr defaultColWidth="9.140625" defaultRowHeight="15"/>
  <cols>
    <col min="1" max="1" width="8.57421875" style="2" bestFit="1" customWidth="1"/>
    <col min="2" max="2" width="51.57421875" style="2" bestFit="1" customWidth="1"/>
    <col min="3" max="3" width="17.00390625" style="1" bestFit="1" customWidth="1"/>
    <col min="4" max="4" width="7.140625" style="2" bestFit="1" customWidth="1"/>
    <col min="5" max="5" width="12.140625" style="2" bestFit="1" customWidth="1"/>
    <col min="6" max="6" width="7.140625" style="2" customWidth="1"/>
    <col min="7" max="7" width="12.140625" style="2" bestFit="1" customWidth="1"/>
    <col min="8" max="8" width="6.00390625" style="2" bestFit="1" customWidth="1"/>
    <col min="9" max="9" width="12.140625" style="2" bestFit="1" customWidth="1"/>
    <col min="10" max="10" width="6.00390625" style="2" bestFit="1" customWidth="1"/>
    <col min="11" max="11" width="12.140625" style="2" bestFit="1" customWidth="1"/>
    <col min="12" max="12" width="6.00390625" style="86" bestFit="1" customWidth="1"/>
    <col min="13" max="13" width="12.140625" style="86" customWidth="1"/>
    <col min="14" max="14" width="6.00390625" style="2" bestFit="1" customWidth="1"/>
    <col min="15" max="15" width="12.140625" style="2" bestFit="1" customWidth="1"/>
    <col min="16" max="16" width="9.140625" style="2" customWidth="1"/>
    <col min="17" max="18" width="10.421875" style="2" bestFit="1" customWidth="1"/>
    <col min="19" max="16384" width="9.140625" style="2" customWidth="1"/>
  </cols>
  <sheetData>
    <row r="1" spans="1:15" ht="15" customHeight="1">
      <c r="A1" s="151" t="s">
        <v>770</v>
      </c>
      <c r="B1" s="151"/>
      <c r="C1" s="151"/>
      <c r="D1" s="151"/>
      <c r="E1" s="151"/>
      <c r="F1" s="151"/>
      <c r="G1" s="151"/>
      <c r="H1" s="151"/>
      <c r="I1" s="151"/>
      <c r="J1" s="151"/>
      <c r="K1" s="151"/>
      <c r="L1" s="151"/>
      <c r="M1" s="151"/>
      <c r="N1" s="151"/>
      <c r="O1" s="151"/>
    </row>
    <row r="2" spans="1:15" ht="15" customHeight="1">
      <c r="A2" s="151"/>
      <c r="B2" s="151"/>
      <c r="C2" s="151"/>
      <c r="D2" s="151"/>
      <c r="E2" s="151"/>
      <c r="F2" s="151"/>
      <c r="G2" s="151"/>
      <c r="H2" s="151"/>
      <c r="I2" s="151"/>
      <c r="J2" s="151"/>
      <c r="K2" s="151"/>
      <c r="L2" s="151"/>
      <c r="M2" s="151"/>
      <c r="N2" s="151"/>
      <c r="O2" s="151"/>
    </row>
    <row r="3" spans="1:15" ht="30" customHeight="1">
      <c r="A3" s="151"/>
      <c r="B3" s="151"/>
      <c r="C3" s="151"/>
      <c r="D3" s="151"/>
      <c r="E3" s="151"/>
      <c r="F3" s="151"/>
      <c r="G3" s="151"/>
      <c r="H3" s="151"/>
      <c r="I3" s="151"/>
      <c r="J3" s="151"/>
      <c r="K3" s="151"/>
      <c r="L3" s="151"/>
      <c r="M3" s="151"/>
      <c r="N3" s="151"/>
      <c r="O3" s="151"/>
    </row>
    <row r="4" spans="1:15" ht="15.75" customHeight="1">
      <c r="A4" s="152" t="s">
        <v>693</v>
      </c>
      <c r="B4" s="153"/>
      <c r="C4" s="153"/>
      <c r="D4" s="153"/>
      <c r="E4" s="153"/>
      <c r="F4" s="153"/>
      <c r="G4" s="153"/>
      <c r="H4" s="153"/>
      <c r="I4" s="153"/>
      <c r="J4" s="153"/>
      <c r="K4" s="153"/>
      <c r="L4" s="153"/>
      <c r="M4" s="153"/>
      <c r="N4" s="153"/>
      <c r="O4" s="154"/>
    </row>
    <row r="5" spans="1:15" ht="18.75" customHeight="1">
      <c r="A5" s="156" t="s">
        <v>701</v>
      </c>
      <c r="B5" s="157"/>
      <c r="C5" s="157"/>
      <c r="D5" s="157"/>
      <c r="E5" s="157"/>
      <c r="F5" s="157"/>
      <c r="G5" s="157"/>
      <c r="H5" s="157"/>
      <c r="I5" s="157"/>
      <c r="J5" s="157"/>
      <c r="K5" s="157"/>
      <c r="L5" s="157"/>
      <c r="M5" s="157"/>
      <c r="N5" s="157"/>
      <c r="O5" s="158"/>
    </row>
    <row r="6" spans="1:15" ht="23.25" customHeight="1">
      <c r="A6" s="130" t="s">
        <v>700</v>
      </c>
      <c r="B6" s="155"/>
      <c r="C6" s="155"/>
      <c r="D6" s="155"/>
      <c r="E6" s="155"/>
      <c r="F6" s="155"/>
      <c r="G6" s="155"/>
      <c r="H6" s="155"/>
      <c r="I6" s="155"/>
      <c r="J6" s="155"/>
      <c r="K6" s="155"/>
      <c r="L6" s="155"/>
      <c r="M6" s="155"/>
      <c r="N6" s="155"/>
      <c r="O6" s="131"/>
    </row>
    <row r="7" spans="1:15" ht="15.75" customHeight="1">
      <c r="A7" s="140" t="s">
        <v>667</v>
      </c>
      <c r="B7" s="142" t="s">
        <v>668</v>
      </c>
      <c r="C7" s="143"/>
      <c r="D7" s="130" t="s">
        <v>669</v>
      </c>
      <c r="E7" s="131"/>
      <c r="F7" s="130" t="s">
        <v>669</v>
      </c>
      <c r="G7" s="131"/>
      <c r="H7" s="130" t="s">
        <v>669</v>
      </c>
      <c r="I7" s="131"/>
      <c r="J7" s="130" t="s">
        <v>669</v>
      </c>
      <c r="K7" s="131"/>
      <c r="L7" s="130" t="s">
        <v>669</v>
      </c>
      <c r="M7" s="131"/>
      <c r="N7" s="130" t="s">
        <v>669</v>
      </c>
      <c r="O7" s="131"/>
    </row>
    <row r="8" spans="1:15" ht="15.75" customHeight="1">
      <c r="A8" s="141"/>
      <c r="B8" s="144"/>
      <c r="C8" s="145"/>
      <c r="D8" s="132" t="s">
        <v>670</v>
      </c>
      <c r="E8" s="133"/>
      <c r="F8" s="132" t="s">
        <v>671</v>
      </c>
      <c r="G8" s="133"/>
      <c r="H8" s="132" t="s">
        <v>697</v>
      </c>
      <c r="I8" s="133"/>
      <c r="J8" s="132" t="s">
        <v>698</v>
      </c>
      <c r="K8" s="133"/>
      <c r="L8" s="132" t="s">
        <v>699</v>
      </c>
      <c r="M8" s="133"/>
      <c r="N8" s="132" t="s">
        <v>727</v>
      </c>
      <c r="O8" s="133"/>
    </row>
    <row r="9" spans="1:15" ht="15" customHeight="1">
      <c r="A9" s="136" t="s">
        <v>672</v>
      </c>
      <c r="B9" s="138" t="s">
        <v>5</v>
      </c>
      <c r="C9" s="146">
        <f>ORÇAMENTO!F42</f>
        <v>15952.602800000002</v>
      </c>
      <c r="D9" s="124">
        <f>E9/C9</f>
        <v>0.6803685979067942</v>
      </c>
      <c r="E9" s="126">
        <v>10853.65</v>
      </c>
      <c r="F9" s="124">
        <f>G9/C9</f>
        <v>0.31963122657325854</v>
      </c>
      <c r="G9" s="126">
        <v>5098.95</v>
      </c>
      <c r="H9" s="124">
        <f>I9/C9</f>
        <v>0</v>
      </c>
      <c r="I9" s="126">
        <v>0</v>
      </c>
      <c r="J9" s="124">
        <f>K9/C9</f>
        <v>0</v>
      </c>
      <c r="K9" s="126">
        <v>0</v>
      </c>
      <c r="L9" s="124">
        <f>M9/C9</f>
        <v>0</v>
      </c>
      <c r="M9" s="126">
        <v>0</v>
      </c>
      <c r="N9" s="124">
        <f>O9/C9</f>
        <v>0</v>
      </c>
      <c r="O9" s="126">
        <v>0</v>
      </c>
    </row>
    <row r="10" spans="1:15" ht="15" customHeight="1">
      <c r="A10" s="137"/>
      <c r="B10" s="139"/>
      <c r="C10" s="147"/>
      <c r="D10" s="125"/>
      <c r="E10" s="127"/>
      <c r="F10" s="125"/>
      <c r="G10" s="127"/>
      <c r="H10" s="125"/>
      <c r="I10" s="127"/>
      <c r="J10" s="125"/>
      <c r="K10" s="127"/>
      <c r="L10" s="125"/>
      <c r="M10" s="127"/>
      <c r="N10" s="125"/>
      <c r="O10" s="127"/>
    </row>
    <row r="11" spans="1:17" ht="15" customHeight="1">
      <c r="A11" s="136" t="s">
        <v>673</v>
      </c>
      <c r="B11" s="138" t="s">
        <v>71</v>
      </c>
      <c r="C11" s="146">
        <f>ORÇAMENTO!F58</f>
        <v>32351.7365</v>
      </c>
      <c r="D11" s="124">
        <f>E11/C11</f>
        <v>0.263889389677738</v>
      </c>
      <c r="E11" s="134">
        <v>8537.279999999999</v>
      </c>
      <c r="F11" s="124">
        <f>G11/C11</f>
        <v>0.17550093485708257</v>
      </c>
      <c r="G11" s="134">
        <v>5677.76</v>
      </c>
      <c r="H11" s="124">
        <f>I11/C11</f>
        <v>0.14231508098491094</v>
      </c>
      <c r="I11" s="134">
        <v>4604.139999999999</v>
      </c>
      <c r="J11" s="124">
        <f>K11/C11</f>
        <v>0.14231508098491094</v>
      </c>
      <c r="K11" s="134">
        <v>4604.139999999999</v>
      </c>
      <c r="L11" s="124">
        <f>M11/C11</f>
        <v>0.14726288340040108</v>
      </c>
      <c r="M11" s="134">
        <v>4764.21</v>
      </c>
      <c r="N11" s="124">
        <f>O11/C11</f>
        <v>0.12871673828080296</v>
      </c>
      <c r="O11" s="134">
        <v>4164.21</v>
      </c>
      <c r="Q11" s="77"/>
    </row>
    <row r="12" spans="1:15" ht="15" customHeight="1">
      <c r="A12" s="137"/>
      <c r="B12" s="139"/>
      <c r="C12" s="147"/>
      <c r="D12" s="125"/>
      <c r="E12" s="135"/>
      <c r="F12" s="125"/>
      <c r="G12" s="135"/>
      <c r="H12" s="125"/>
      <c r="I12" s="135"/>
      <c r="J12" s="125"/>
      <c r="K12" s="135"/>
      <c r="L12" s="125"/>
      <c r="M12" s="135"/>
      <c r="N12" s="125"/>
      <c r="O12" s="135"/>
    </row>
    <row r="13" spans="1:15" ht="15" customHeight="1">
      <c r="A13" s="136" t="s">
        <v>674</v>
      </c>
      <c r="B13" s="138" t="s">
        <v>90</v>
      </c>
      <c r="C13" s="146">
        <f>ORÇAMENTO!F67</f>
        <v>7638.6458999999995</v>
      </c>
      <c r="D13" s="124">
        <f>E13/C13</f>
        <v>0.7348069374442401</v>
      </c>
      <c r="E13" s="126">
        <v>5612.93</v>
      </c>
      <c r="F13" s="124">
        <f>G13/C13</f>
        <v>0.13091325518833122</v>
      </c>
      <c r="G13" s="126">
        <v>1000</v>
      </c>
      <c r="H13" s="124">
        <f>I13/C13</f>
        <v>0.05236530207533249</v>
      </c>
      <c r="I13" s="126">
        <v>400</v>
      </c>
      <c r="J13" s="124">
        <f>K13/C13</f>
        <v>0</v>
      </c>
      <c r="K13" s="126">
        <v>0</v>
      </c>
      <c r="L13" s="124">
        <f>M13/C13</f>
        <v>0.08191504203644262</v>
      </c>
      <c r="M13" s="126">
        <v>625.72</v>
      </c>
      <c r="N13" s="124">
        <f>O13/C13</f>
        <v>0</v>
      </c>
      <c r="O13" s="126">
        <v>0</v>
      </c>
    </row>
    <row r="14" spans="1:17" ht="15" customHeight="1">
      <c r="A14" s="137"/>
      <c r="B14" s="139"/>
      <c r="C14" s="147"/>
      <c r="D14" s="125"/>
      <c r="E14" s="127"/>
      <c r="F14" s="125"/>
      <c r="G14" s="127"/>
      <c r="H14" s="125"/>
      <c r="I14" s="127"/>
      <c r="J14" s="125"/>
      <c r="K14" s="127"/>
      <c r="L14" s="125"/>
      <c r="M14" s="127"/>
      <c r="N14" s="125"/>
      <c r="O14" s="127"/>
      <c r="Q14" s="77"/>
    </row>
    <row r="15" spans="1:17" ht="15" customHeight="1">
      <c r="A15" s="136" t="s">
        <v>694</v>
      </c>
      <c r="B15" s="138" t="s">
        <v>106</v>
      </c>
      <c r="C15" s="146">
        <f>ORÇAMENTO!F86</f>
        <v>11042.210000000001</v>
      </c>
      <c r="D15" s="124">
        <f>E15/C15</f>
        <v>0.9999999999999999</v>
      </c>
      <c r="E15" s="126">
        <v>11042.21</v>
      </c>
      <c r="F15" s="124">
        <f>G15/C15</f>
        <v>0</v>
      </c>
      <c r="G15" s="126">
        <v>0</v>
      </c>
      <c r="H15" s="124">
        <f>I15/C15</f>
        <v>0</v>
      </c>
      <c r="I15" s="126">
        <v>0</v>
      </c>
      <c r="J15" s="124">
        <f>K15/C15</f>
        <v>0</v>
      </c>
      <c r="K15" s="126">
        <v>0</v>
      </c>
      <c r="L15" s="124">
        <f>M15/C15</f>
        <v>0</v>
      </c>
      <c r="M15" s="126">
        <v>0</v>
      </c>
      <c r="N15" s="124">
        <f>O15/C15</f>
        <v>0</v>
      </c>
      <c r="O15" s="126">
        <v>0</v>
      </c>
      <c r="Q15" s="77"/>
    </row>
    <row r="16" spans="1:17" ht="15" customHeight="1">
      <c r="A16" s="137"/>
      <c r="B16" s="139"/>
      <c r="C16" s="147"/>
      <c r="D16" s="125"/>
      <c r="E16" s="127"/>
      <c r="F16" s="125"/>
      <c r="G16" s="127"/>
      <c r="H16" s="125"/>
      <c r="I16" s="127"/>
      <c r="J16" s="125"/>
      <c r="K16" s="127"/>
      <c r="L16" s="125"/>
      <c r="M16" s="127"/>
      <c r="N16" s="125"/>
      <c r="O16" s="127"/>
      <c r="Q16" s="77"/>
    </row>
    <row r="17" spans="1:15" ht="15" customHeight="1">
      <c r="A17" s="136" t="s">
        <v>675</v>
      </c>
      <c r="B17" s="138" t="s">
        <v>143</v>
      </c>
      <c r="C17" s="146">
        <f>ORÇAMENTO!F96</f>
        <v>30389.318199999998</v>
      </c>
      <c r="D17" s="124">
        <f>E17/C17</f>
        <v>0.35360977595081416</v>
      </c>
      <c r="E17" s="126">
        <v>10745.96</v>
      </c>
      <c r="F17" s="124">
        <f>G17/C17</f>
        <v>0.021416735831868716</v>
      </c>
      <c r="G17" s="126">
        <v>650.84</v>
      </c>
      <c r="H17" s="124">
        <f>I17/C17</f>
        <v>0.294950677768085</v>
      </c>
      <c r="I17" s="126">
        <v>8963.35</v>
      </c>
      <c r="J17" s="124">
        <f>K17/C17</f>
        <v>0.3300228696805709</v>
      </c>
      <c r="K17" s="126">
        <v>10029.17</v>
      </c>
      <c r="L17" s="124">
        <f>M17/C17</f>
        <v>0</v>
      </c>
      <c r="M17" s="126">
        <v>0</v>
      </c>
      <c r="N17" s="124">
        <f>O17/C17</f>
        <v>0</v>
      </c>
      <c r="O17" s="126">
        <v>0</v>
      </c>
    </row>
    <row r="18" spans="1:15" ht="15" customHeight="1">
      <c r="A18" s="137"/>
      <c r="B18" s="139"/>
      <c r="C18" s="147"/>
      <c r="D18" s="125"/>
      <c r="E18" s="127"/>
      <c r="F18" s="125"/>
      <c r="G18" s="127"/>
      <c r="H18" s="125"/>
      <c r="I18" s="127"/>
      <c r="J18" s="125"/>
      <c r="K18" s="127"/>
      <c r="L18" s="125"/>
      <c r="M18" s="127"/>
      <c r="N18" s="125"/>
      <c r="O18" s="127"/>
    </row>
    <row r="19" spans="1:17" ht="15" customHeight="1">
      <c r="A19" s="136" t="s">
        <v>676</v>
      </c>
      <c r="B19" s="138" t="s">
        <v>161</v>
      </c>
      <c r="C19" s="146">
        <f>ORÇAMENTO!F105</f>
        <v>12534.119999999999</v>
      </c>
      <c r="D19" s="124">
        <f>E19/C19</f>
        <v>0</v>
      </c>
      <c r="E19" s="126">
        <v>0</v>
      </c>
      <c r="F19" s="124">
        <f>G19/C19</f>
        <v>0.17451085516972872</v>
      </c>
      <c r="G19" s="126">
        <v>2187.34</v>
      </c>
      <c r="H19" s="124">
        <f>I19/C19</f>
        <v>0.8254891448302714</v>
      </c>
      <c r="I19" s="126">
        <v>10346.78</v>
      </c>
      <c r="J19" s="124">
        <f>K19/C19</f>
        <v>0</v>
      </c>
      <c r="K19" s="126">
        <v>0</v>
      </c>
      <c r="L19" s="124">
        <f>M19/C19</f>
        <v>0</v>
      </c>
      <c r="M19" s="126">
        <v>0</v>
      </c>
      <c r="N19" s="124">
        <f>O19/C19</f>
        <v>0</v>
      </c>
      <c r="O19" s="126">
        <v>0</v>
      </c>
      <c r="Q19" s="77"/>
    </row>
    <row r="20" spans="1:15" ht="15" customHeight="1">
      <c r="A20" s="137"/>
      <c r="B20" s="139"/>
      <c r="C20" s="147"/>
      <c r="D20" s="125"/>
      <c r="E20" s="127"/>
      <c r="F20" s="125"/>
      <c r="G20" s="127"/>
      <c r="H20" s="125"/>
      <c r="I20" s="127"/>
      <c r="J20" s="125"/>
      <c r="K20" s="127"/>
      <c r="L20" s="125"/>
      <c r="M20" s="127"/>
      <c r="N20" s="125"/>
      <c r="O20" s="127"/>
    </row>
    <row r="21" spans="1:17" ht="15" customHeight="1">
      <c r="A21" s="136" t="s">
        <v>677</v>
      </c>
      <c r="B21" s="138" t="s">
        <v>176</v>
      </c>
      <c r="C21" s="146">
        <f>ORÇAMENTO!F114</f>
        <v>30029.6033</v>
      </c>
      <c r="D21" s="124">
        <f>E21/C21</f>
        <v>0</v>
      </c>
      <c r="E21" s="126">
        <v>0</v>
      </c>
      <c r="F21" s="124">
        <f>G21/C21</f>
        <v>0.8148552531827818</v>
      </c>
      <c r="G21" s="126">
        <v>24469.78</v>
      </c>
      <c r="H21" s="124">
        <f>I21/C21</f>
        <v>0.1851446369256566</v>
      </c>
      <c r="I21" s="126">
        <v>5559.82</v>
      </c>
      <c r="J21" s="124">
        <f>K21/C21</f>
        <v>0</v>
      </c>
      <c r="K21" s="126">
        <v>0</v>
      </c>
      <c r="L21" s="124">
        <f>M21/C21</f>
        <v>0</v>
      </c>
      <c r="M21" s="126">
        <v>0</v>
      </c>
      <c r="N21" s="124">
        <f>O21/C21</f>
        <v>0</v>
      </c>
      <c r="O21" s="126">
        <v>0</v>
      </c>
      <c r="Q21" s="77"/>
    </row>
    <row r="22" spans="1:15" ht="15" customHeight="1">
      <c r="A22" s="137"/>
      <c r="B22" s="139"/>
      <c r="C22" s="147"/>
      <c r="D22" s="125"/>
      <c r="E22" s="127"/>
      <c r="F22" s="125"/>
      <c r="G22" s="127"/>
      <c r="H22" s="125"/>
      <c r="I22" s="127"/>
      <c r="J22" s="125"/>
      <c r="K22" s="127"/>
      <c r="L22" s="125"/>
      <c r="M22" s="127"/>
      <c r="N22" s="125"/>
      <c r="O22" s="127"/>
    </row>
    <row r="23" spans="1:15" ht="15" customHeight="1">
      <c r="A23" s="136" t="s">
        <v>678</v>
      </c>
      <c r="B23" s="138" t="s">
        <v>191</v>
      </c>
      <c r="C23" s="146">
        <f>ORÇAMENTO!F121</f>
        <v>15548.5622</v>
      </c>
      <c r="D23" s="124">
        <f>E23/C23</f>
        <v>0</v>
      </c>
      <c r="E23" s="126">
        <v>0</v>
      </c>
      <c r="F23" s="124">
        <f>G23/C23</f>
        <v>0</v>
      </c>
      <c r="G23" s="126">
        <v>0</v>
      </c>
      <c r="H23" s="124">
        <f>I23/C23</f>
        <v>0.8036659492541375</v>
      </c>
      <c r="I23" s="126">
        <v>12495.85</v>
      </c>
      <c r="J23" s="124">
        <f>K23/C23</f>
        <v>0</v>
      </c>
      <c r="K23" s="126">
        <v>0</v>
      </c>
      <c r="L23" s="124">
        <f>M23/C23</f>
        <v>0</v>
      </c>
      <c r="M23" s="126">
        <v>0</v>
      </c>
      <c r="N23" s="124">
        <f>O23/C23</f>
        <v>0.19633390925368005</v>
      </c>
      <c r="O23" s="126">
        <v>3052.71</v>
      </c>
    </row>
    <row r="24" spans="1:15" ht="15" customHeight="1">
      <c r="A24" s="137"/>
      <c r="B24" s="139"/>
      <c r="C24" s="147"/>
      <c r="D24" s="125"/>
      <c r="E24" s="127"/>
      <c r="F24" s="125"/>
      <c r="G24" s="127"/>
      <c r="H24" s="125"/>
      <c r="I24" s="127"/>
      <c r="J24" s="125"/>
      <c r="K24" s="127"/>
      <c r="L24" s="125"/>
      <c r="M24" s="127"/>
      <c r="N24" s="125"/>
      <c r="O24" s="127"/>
    </row>
    <row r="25" spans="1:15" ht="15" customHeight="1">
      <c r="A25" s="136" t="s">
        <v>679</v>
      </c>
      <c r="B25" s="138" t="s">
        <v>201</v>
      </c>
      <c r="C25" s="146">
        <f>ORÇAMENTO!F134</f>
        <v>31801.89660319317</v>
      </c>
      <c r="D25" s="124">
        <f>E25/C25</f>
        <v>0.7713643719455682</v>
      </c>
      <c r="E25" s="126">
        <v>24530.85</v>
      </c>
      <c r="F25" s="124">
        <f>G25/C25</f>
        <v>0.22863573486588618</v>
      </c>
      <c r="G25" s="126">
        <v>7271.05</v>
      </c>
      <c r="H25" s="124">
        <f>I25/C25</f>
        <v>0</v>
      </c>
      <c r="I25" s="126">
        <v>0</v>
      </c>
      <c r="J25" s="124">
        <f>K25/C25</f>
        <v>0</v>
      </c>
      <c r="K25" s="126"/>
      <c r="L25" s="124">
        <f>M25/C25</f>
        <v>0</v>
      </c>
      <c r="M25" s="126">
        <v>0</v>
      </c>
      <c r="N25" s="124">
        <f>O25/C25</f>
        <v>0</v>
      </c>
      <c r="O25" s="126">
        <v>0</v>
      </c>
    </row>
    <row r="26" spans="1:15" ht="15" customHeight="1">
      <c r="A26" s="137"/>
      <c r="B26" s="139"/>
      <c r="C26" s="147"/>
      <c r="D26" s="125"/>
      <c r="E26" s="127"/>
      <c r="F26" s="125"/>
      <c r="G26" s="127"/>
      <c r="H26" s="125"/>
      <c r="I26" s="127"/>
      <c r="J26" s="125"/>
      <c r="K26" s="127"/>
      <c r="L26" s="125"/>
      <c r="M26" s="127"/>
      <c r="N26" s="125"/>
      <c r="O26" s="127"/>
    </row>
    <row r="27" spans="1:15" ht="15" customHeight="1">
      <c r="A27" s="136" t="s">
        <v>695</v>
      </c>
      <c r="B27" s="138" t="s">
        <v>222</v>
      </c>
      <c r="C27" s="146">
        <f>ORÇAMENTO!F138</f>
        <v>11224.895</v>
      </c>
      <c r="D27" s="124">
        <f>E27/C27</f>
        <v>1.000000445438465</v>
      </c>
      <c r="E27" s="126">
        <v>11224.9</v>
      </c>
      <c r="F27" s="124">
        <f>G27/C27</f>
        <v>0</v>
      </c>
      <c r="G27" s="126">
        <v>0</v>
      </c>
      <c r="H27" s="124">
        <f>I27/C27</f>
        <v>0</v>
      </c>
      <c r="I27" s="126">
        <v>0</v>
      </c>
      <c r="J27" s="124">
        <f>K27/C27</f>
        <v>0</v>
      </c>
      <c r="K27" s="126">
        <v>0</v>
      </c>
      <c r="L27" s="124">
        <f>M27/C27</f>
        <v>0</v>
      </c>
      <c r="M27" s="126">
        <v>0</v>
      </c>
      <c r="N27" s="124">
        <f>O27/C27</f>
        <v>0</v>
      </c>
      <c r="O27" s="126">
        <v>0</v>
      </c>
    </row>
    <row r="28" spans="1:15" ht="15" customHeight="1">
      <c r="A28" s="137"/>
      <c r="B28" s="139"/>
      <c r="C28" s="147"/>
      <c r="D28" s="125"/>
      <c r="E28" s="127"/>
      <c r="F28" s="125"/>
      <c r="G28" s="127"/>
      <c r="H28" s="125"/>
      <c r="I28" s="127"/>
      <c r="J28" s="125"/>
      <c r="K28" s="127"/>
      <c r="L28" s="125"/>
      <c r="M28" s="127"/>
      <c r="N28" s="125"/>
      <c r="O28" s="127"/>
    </row>
    <row r="29" spans="1:15" ht="15" customHeight="1">
      <c r="A29" s="136" t="s">
        <v>680</v>
      </c>
      <c r="B29" s="138" t="s">
        <v>228</v>
      </c>
      <c r="C29" s="146">
        <f>ORÇAMENTO!F144</f>
        <v>6949.208099999999</v>
      </c>
      <c r="D29" s="124">
        <f>E29/C29</f>
        <v>0</v>
      </c>
      <c r="E29" s="126">
        <v>0</v>
      </c>
      <c r="F29" s="124">
        <f>G29/C29</f>
        <v>0</v>
      </c>
      <c r="G29" s="126">
        <v>0</v>
      </c>
      <c r="H29" s="124">
        <f>I29/C29</f>
        <v>0.07557695674705728</v>
      </c>
      <c r="I29" s="126">
        <v>525.2</v>
      </c>
      <c r="J29" s="124">
        <f>K29/C29</f>
        <v>0.9244233166653911</v>
      </c>
      <c r="K29" s="126">
        <v>6424.01</v>
      </c>
      <c r="L29" s="124">
        <f>M29/C29</f>
        <v>0</v>
      </c>
      <c r="M29" s="126">
        <v>0</v>
      </c>
      <c r="N29" s="124">
        <f>O29/C29</f>
        <v>0</v>
      </c>
      <c r="O29" s="126">
        <v>0</v>
      </c>
    </row>
    <row r="30" spans="1:15" ht="15" customHeight="1">
      <c r="A30" s="137"/>
      <c r="B30" s="139"/>
      <c r="C30" s="147"/>
      <c r="D30" s="125"/>
      <c r="E30" s="127"/>
      <c r="F30" s="125"/>
      <c r="G30" s="127"/>
      <c r="H30" s="125"/>
      <c r="I30" s="127"/>
      <c r="J30" s="125"/>
      <c r="K30" s="127"/>
      <c r="L30" s="125"/>
      <c r="M30" s="127"/>
      <c r="N30" s="125"/>
      <c r="O30" s="127"/>
    </row>
    <row r="31" spans="1:15" ht="15" customHeight="1">
      <c r="A31" s="136" t="s">
        <v>681</v>
      </c>
      <c r="B31" s="138" t="s">
        <v>238</v>
      </c>
      <c r="C31" s="146">
        <f>ORÇAMENTO!F157</f>
        <v>57736.95466949097</v>
      </c>
      <c r="D31" s="124">
        <f>E31/C31</f>
        <v>0</v>
      </c>
      <c r="E31" s="126">
        <v>0</v>
      </c>
      <c r="F31" s="124">
        <f>G31/C31</f>
        <v>0.4411188665178787</v>
      </c>
      <c r="G31" s="126">
        <v>25468.86</v>
      </c>
      <c r="H31" s="124">
        <f>I31/C31</f>
        <v>0.5588810526068656</v>
      </c>
      <c r="I31" s="126">
        <v>32268.09</v>
      </c>
      <c r="J31" s="124">
        <f>K31/C31</f>
        <v>0</v>
      </c>
      <c r="K31" s="126">
        <v>0</v>
      </c>
      <c r="L31" s="124">
        <f>M31/C31</f>
        <v>0</v>
      </c>
      <c r="M31" s="126">
        <v>0</v>
      </c>
      <c r="N31" s="124">
        <f>O31/C31</f>
        <v>0</v>
      </c>
      <c r="O31" s="126">
        <v>0</v>
      </c>
    </row>
    <row r="32" spans="1:17" ht="15" customHeight="1">
      <c r="A32" s="137"/>
      <c r="B32" s="139"/>
      <c r="C32" s="147"/>
      <c r="D32" s="125"/>
      <c r="E32" s="127"/>
      <c r="F32" s="125"/>
      <c r="G32" s="127"/>
      <c r="H32" s="125"/>
      <c r="I32" s="127"/>
      <c r="J32" s="125"/>
      <c r="K32" s="127"/>
      <c r="L32" s="125"/>
      <c r="M32" s="127"/>
      <c r="N32" s="125"/>
      <c r="O32" s="127"/>
      <c r="Q32" s="77"/>
    </row>
    <row r="33" spans="1:15" ht="15" customHeight="1">
      <c r="A33" s="136" t="s">
        <v>682</v>
      </c>
      <c r="B33" s="138" t="s">
        <v>256</v>
      </c>
      <c r="C33" s="146">
        <f>ORÇAMENTO!F174</f>
        <v>36185.10249999999</v>
      </c>
      <c r="D33" s="124">
        <f>E33/C33</f>
        <v>0</v>
      </c>
      <c r="E33" s="126">
        <v>0</v>
      </c>
      <c r="F33" s="124">
        <f>G33/C33</f>
        <v>0</v>
      </c>
      <c r="G33" s="126">
        <v>0</v>
      </c>
      <c r="H33" s="124">
        <f>I33/C33</f>
        <v>0.1698295590015256</v>
      </c>
      <c r="I33" s="126">
        <v>6145.3</v>
      </c>
      <c r="J33" s="124">
        <f>K33/C33</f>
        <v>0.4156351360342285</v>
      </c>
      <c r="K33" s="126">
        <v>15039.8</v>
      </c>
      <c r="L33" s="124">
        <f>M33/C33</f>
        <v>0.4145352358750401</v>
      </c>
      <c r="M33" s="126">
        <v>15000</v>
      </c>
      <c r="N33" s="124">
        <f>O33/C33</f>
        <v>0</v>
      </c>
      <c r="O33" s="126">
        <v>0</v>
      </c>
    </row>
    <row r="34" spans="1:15" ht="15" customHeight="1">
      <c r="A34" s="137"/>
      <c r="B34" s="139"/>
      <c r="C34" s="147"/>
      <c r="D34" s="125"/>
      <c r="E34" s="127"/>
      <c r="F34" s="125"/>
      <c r="G34" s="127"/>
      <c r="H34" s="125"/>
      <c r="I34" s="127"/>
      <c r="J34" s="125"/>
      <c r="K34" s="127"/>
      <c r="L34" s="125"/>
      <c r="M34" s="127"/>
      <c r="N34" s="125"/>
      <c r="O34" s="127"/>
    </row>
    <row r="35" spans="1:15" ht="15" customHeight="1">
      <c r="A35" s="136" t="s">
        <v>683</v>
      </c>
      <c r="B35" s="138" t="s">
        <v>279</v>
      </c>
      <c r="C35" s="146">
        <f>ORÇAMENTO!F213</f>
        <v>19516.547499999993</v>
      </c>
      <c r="D35" s="124">
        <f>E35/C35</f>
        <v>0</v>
      </c>
      <c r="E35" s="126">
        <v>0</v>
      </c>
      <c r="F35" s="124">
        <f>G35/C35</f>
        <v>0.6196259866146921</v>
      </c>
      <c r="G35" s="126">
        <v>12092.96</v>
      </c>
      <c r="H35" s="124">
        <f>I35/C35</f>
        <v>0.38037414148173504</v>
      </c>
      <c r="I35" s="126">
        <v>7423.59</v>
      </c>
      <c r="J35" s="124">
        <f>K35/C35</f>
        <v>0</v>
      </c>
      <c r="K35" s="126">
        <v>0</v>
      </c>
      <c r="L35" s="124">
        <f>M35/C35</f>
        <v>0</v>
      </c>
      <c r="M35" s="126">
        <v>0</v>
      </c>
      <c r="N35" s="124">
        <f>O35/C35</f>
        <v>0</v>
      </c>
      <c r="O35" s="126">
        <v>0</v>
      </c>
    </row>
    <row r="36" spans="1:15" ht="15" customHeight="1">
      <c r="A36" s="137"/>
      <c r="B36" s="139"/>
      <c r="C36" s="147"/>
      <c r="D36" s="125"/>
      <c r="E36" s="127"/>
      <c r="F36" s="125"/>
      <c r="G36" s="127"/>
      <c r="H36" s="125"/>
      <c r="I36" s="127"/>
      <c r="J36" s="125"/>
      <c r="K36" s="127"/>
      <c r="L36" s="125"/>
      <c r="M36" s="127"/>
      <c r="N36" s="125"/>
      <c r="O36" s="127"/>
    </row>
    <row r="37" spans="1:15" ht="15" customHeight="1">
      <c r="A37" s="136" t="s">
        <v>684</v>
      </c>
      <c r="B37" s="138" t="s">
        <v>349</v>
      </c>
      <c r="C37" s="146">
        <f>ORÇAMENTO!F275</f>
        <v>51256.738499999985</v>
      </c>
      <c r="D37" s="124">
        <f>E37/C37</f>
        <v>0.17539606036384858</v>
      </c>
      <c r="E37" s="126">
        <v>8990.23</v>
      </c>
      <c r="F37" s="124">
        <f>G37/C37</f>
        <v>0.2105235392610867</v>
      </c>
      <c r="G37" s="126">
        <v>10790.75</v>
      </c>
      <c r="H37" s="124">
        <f>I37/C37</f>
        <v>0.5111731796981193</v>
      </c>
      <c r="I37" s="126">
        <v>26201.07</v>
      </c>
      <c r="J37" s="124">
        <f>K37/C37</f>
        <v>0.10290724994139065</v>
      </c>
      <c r="K37" s="126">
        <v>5274.69</v>
      </c>
      <c r="L37" s="124">
        <f>M37/C37</f>
        <v>0</v>
      </c>
      <c r="M37" s="126">
        <v>0</v>
      </c>
      <c r="N37" s="124">
        <f>O37/C37</f>
        <v>0</v>
      </c>
      <c r="O37" s="126">
        <v>0</v>
      </c>
    </row>
    <row r="38" spans="1:17" ht="15" customHeight="1">
      <c r="A38" s="137"/>
      <c r="B38" s="139"/>
      <c r="C38" s="147"/>
      <c r="D38" s="125"/>
      <c r="E38" s="127"/>
      <c r="F38" s="125"/>
      <c r="G38" s="127"/>
      <c r="H38" s="125"/>
      <c r="I38" s="127"/>
      <c r="J38" s="125"/>
      <c r="K38" s="127"/>
      <c r="L38" s="125"/>
      <c r="M38" s="127"/>
      <c r="N38" s="125"/>
      <c r="O38" s="127"/>
      <c r="Q38" s="77"/>
    </row>
    <row r="39" spans="1:15" ht="15" customHeight="1">
      <c r="A39" s="136" t="s">
        <v>696</v>
      </c>
      <c r="B39" s="138" t="s">
        <v>446</v>
      </c>
      <c r="C39" s="146">
        <f>ORÇAMENTO!F287</f>
        <v>7589.987129198859</v>
      </c>
      <c r="D39" s="124">
        <f>E39/C39</f>
        <v>0</v>
      </c>
      <c r="E39" s="126">
        <v>0</v>
      </c>
      <c r="F39" s="124">
        <f>G39/C39</f>
        <v>0</v>
      </c>
      <c r="G39" s="126">
        <v>0</v>
      </c>
      <c r="H39" s="124">
        <f>I39/C39</f>
        <v>0</v>
      </c>
      <c r="I39" s="126">
        <v>0</v>
      </c>
      <c r="J39" s="124">
        <f>K39/C39</f>
        <v>0.8928091556217521</v>
      </c>
      <c r="K39" s="126">
        <v>6776.41</v>
      </c>
      <c r="L39" s="124">
        <f>M39/C39</f>
        <v>0</v>
      </c>
      <c r="M39" s="126">
        <v>0</v>
      </c>
      <c r="N39" s="124">
        <f>O39/C39</f>
        <v>0.10719122261355868</v>
      </c>
      <c r="O39" s="126">
        <v>813.58</v>
      </c>
    </row>
    <row r="40" spans="1:15" ht="15" customHeight="1">
      <c r="A40" s="137"/>
      <c r="B40" s="139"/>
      <c r="C40" s="147"/>
      <c r="D40" s="125"/>
      <c r="E40" s="127"/>
      <c r="F40" s="125"/>
      <c r="G40" s="127"/>
      <c r="H40" s="125"/>
      <c r="I40" s="127"/>
      <c r="J40" s="125"/>
      <c r="K40" s="127"/>
      <c r="L40" s="125"/>
      <c r="M40" s="127"/>
      <c r="N40" s="125"/>
      <c r="O40" s="127"/>
    </row>
    <row r="41" spans="1:18" ht="15" customHeight="1">
      <c r="A41" s="136" t="s">
        <v>685</v>
      </c>
      <c r="B41" s="138" t="s">
        <v>462</v>
      </c>
      <c r="C41" s="146">
        <f>ORÇAMENTO!F316</f>
        <v>31233.961200000005</v>
      </c>
      <c r="D41" s="124">
        <f>E41/C41</f>
        <v>0</v>
      </c>
      <c r="E41" s="126">
        <v>0</v>
      </c>
      <c r="F41" s="124">
        <f>G41/C41</f>
        <v>0.1558012436795881</v>
      </c>
      <c r="G41" s="126">
        <v>4866.29</v>
      </c>
      <c r="H41" s="124">
        <f>I41/C41</f>
        <v>0.5383092426970165</v>
      </c>
      <c r="I41" s="126">
        <v>16813.53</v>
      </c>
      <c r="J41" s="124">
        <f>K41/C41</f>
        <v>0.212547808377248</v>
      </c>
      <c r="K41" s="126">
        <v>6638.71</v>
      </c>
      <c r="L41" s="124">
        <f>M41/C41</f>
        <v>0</v>
      </c>
      <c r="M41" s="126">
        <v>0</v>
      </c>
      <c r="N41" s="124">
        <f>O41/C41</f>
        <v>0.09334166682642864</v>
      </c>
      <c r="O41" s="126">
        <v>2915.43</v>
      </c>
      <c r="R41" s="77"/>
    </row>
    <row r="42" spans="1:17" ht="15" customHeight="1">
      <c r="A42" s="137"/>
      <c r="B42" s="139"/>
      <c r="C42" s="147"/>
      <c r="D42" s="125"/>
      <c r="E42" s="127"/>
      <c r="F42" s="125"/>
      <c r="G42" s="127"/>
      <c r="H42" s="125"/>
      <c r="I42" s="127"/>
      <c r="J42" s="125"/>
      <c r="K42" s="127"/>
      <c r="L42" s="125"/>
      <c r="M42" s="127"/>
      <c r="N42" s="125"/>
      <c r="O42" s="127"/>
      <c r="Q42" s="77"/>
    </row>
    <row r="43" spans="1:15" ht="15" customHeight="1">
      <c r="A43" s="136" t="s">
        <v>686</v>
      </c>
      <c r="B43" s="138" t="s">
        <v>498</v>
      </c>
      <c r="C43" s="146">
        <f>ORÇAMENTO!F338</f>
        <v>16332.99</v>
      </c>
      <c r="D43" s="124">
        <f>E43/C43</f>
        <v>0</v>
      </c>
      <c r="E43" s="126">
        <v>0</v>
      </c>
      <c r="F43" s="124">
        <f>G43/C43</f>
        <v>0</v>
      </c>
      <c r="G43" s="126">
        <v>0</v>
      </c>
      <c r="H43" s="124">
        <f>I43/C43</f>
        <v>0</v>
      </c>
      <c r="I43" s="126">
        <v>0</v>
      </c>
      <c r="J43" s="124">
        <f>K43/C43</f>
        <v>0.835296537866</v>
      </c>
      <c r="K43" s="126">
        <v>13642.89</v>
      </c>
      <c r="L43" s="124">
        <f>M43/C43</f>
        <v>0.1461857259448515</v>
      </c>
      <c r="M43" s="126">
        <v>2387.65</v>
      </c>
      <c r="N43" s="124">
        <f>O43/C43</f>
        <v>0.018517736189148464</v>
      </c>
      <c r="O43" s="126">
        <v>302.45</v>
      </c>
    </row>
    <row r="44" spans="1:17" ht="15" customHeight="1">
      <c r="A44" s="137"/>
      <c r="B44" s="139"/>
      <c r="C44" s="147"/>
      <c r="D44" s="125"/>
      <c r="E44" s="127"/>
      <c r="F44" s="125"/>
      <c r="G44" s="127"/>
      <c r="H44" s="125"/>
      <c r="I44" s="127"/>
      <c r="J44" s="125"/>
      <c r="K44" s="127"/>
      <c r="L44" s="125"/>
      <c r="M44" s="127"/>
      <c r="N44" s="125"/>
      <c r="O44" s="127"/>
      <c r="Q44" s="77"/>
    </row>
    <row r="45" spans="1:17" ht="15" customHeight="1">
      <c r="A45" s="136" t="s">
        <v>687</v>
      </c>
      <c r="B45" s="138" t="s">
        <v>532</v>
      </c>
      <c r="C45" s="146">
        <f>ORÇAMENTO!F348</f>
        <v>27507.1642</v>
      </c>
      <c r="D45" s="124">
        <f>E45/C45</f>
        <v>0</v>
      </c>
      <c r="E45" s="126">
        <v>0</v>
      </c>
      <c r="F45" s="124">
        <f>G45/C45</f>
        <v>0</v>
      </c>
      <c r="G45" s="126">
        <v>0</v>
      </c>
      <c r="H45" s="124">
        <f>I45/C45</f>
        <v>0</v>
      </c>
      <c r="I45" s="126">
        <v>0</v>
      </c>
      <c r="J45" s="124">
        <f>K45/C45</f>
        <v>0.32529889067954154</v>
      </c>
      <c r="K45" s="126">
        <v>8948.05</v>
      </c>
      <c r="L45" s="124">
        <f>M45/C45</f>
        <v>0.6695742922129356</v>
      </c>
      <c r="M45" s="126">
        <v>18418.09</v>
      </c>
      <c r="N45" s="124">
        <f>O45/C45</f>
        <v>0.005126664420027711</v>
      </c>
      <c r="O45" s="126">
        <v>141.02</v>
      </c>
      <c r="Q45" s="77"/>
    </row>
    <row r="46" spans="1:15" ht="15" customHeight="1">
      <c r="A46" s="137"/>
      <c r="B46" s="139"/>
      <c r="C46" s="147"/>
      <c r="D46" s="125"/>
      <c r="E46" s="127"/>
      <c r="F46" s="125"/>
      <c r="G46" s="127"/>
      <c r="H46" s="125"/>
      <c r="I46" s="127"/>
      <c r="J46" s="125"/>
      <c r="K46" s="127"/>
      <c r="L46" s="125"/>
      <c r="M46" s="127"/>
      <c r="N46" s="125"/>
      <c r="O46" s="127"/>
    </row>
    <row r="47" spans="1:15" ht="15" customHeight="1">
      <c r="A47" s="136" t="s">
        <v>688</v>
      </c>
      <c r="B47" s="138" t="s">
        <v>540</v>
      </c>
      <c r="C47" s="146">
        <f>ORÇAMENTO!F363</f>
        <v>22956.10786666667</v>
      </c>
      <c r="D47" s="124">
        <f>E47/C47</f>
        <v>0</v>
      </c>
      <c r="E47" s="126">
        <v>0</v>
      </c>
      <c r="F47" s="124">
        <f>G47/C47</f>
        <v>0</v>
      </c>
      <c r="G47" s="126">
        <v>0</v>
      </c>
      <c r="H47" s="124">
        <f>I47/C47</f>
        <v>0</v>
      </c>
      <c r="I47" s="126">
        <v>0</v>
      </c>
      <c r="J47" s="124">
        <f>K47/C47</f>
        <v>0</v>
      </c>
      <c r="K47" s="126">
        <v>0</v>
      </c>
      <c r="L47" s="124">
        <f>M47/C47</f>
        <v>0.4075094111917659</v>
      </c>
      <c r="M47" s="126">
        <v>9354.83</v>
      </c>
      <c r="N47" s="124">
        <f>O47/C47</f>
        <v>0.5924906817392024</v>
      </c>
      <c r="O47" s="126">
        <v>13601.28</v>
      </c>
    </row>
    <row r="48" spans="1:17" ht="15" customHeight="1">
      <c r="A48" s="137"/>
      <c r="B48" s="139"/>
      <c r="C48" s="147"/>
      <c r="D48" s="125"/>
      <c r="E48" s="127"/>
      <c r="F48" s="125"/>
      <c r="G48" s="127"/>
      <c r="H48" s="125"/>
      <c r="I48" s="127"/>
      <c r="J48" s="125"/>
      <c r="K48" s="127"/>
      <c r="L48" s="125"/>
      <c r="M48" s="127"/>
      <c r="N48" s="125"/>
      <c r="O48" s="127"/>
      <c r="Q48" s="77"/>
    </row>
    <row r="49" spans="1:15" ht="15" customHeight="1">
      <c r="A49" s="136" t="s">
        <v>689</v>
      </c>
      <c r="B49" s="138" t="s">
        <v>555</v>
      </c>
      <c r="C49" s="146">
        <f>ORÇAMENTO!F371</f>
        <v>1307.32936</v>
      </c>
      <c r="D49" s="124">
        <f>E49/C49</f>
        <v>0</v>
      </c>
      <c r="E49" s="126">
        <v>0</v>
      </c>
      <c r="F49" s="124">
        <f>G49/C49</f>
        <v>0.15868886678477573</v>
      </c>
      <c r="G49" s="126">
        <v>207.45861465286612</v>
      </c>
      <c r="H49" s="124">
        <f>I49/C49</f>
        <v>0.8413105630856481</v>
      </c>
      <c r="I49" s="126">
        <v>1099.87</v>
      </c>
      <c r="J49" s="124">
        <f>K49/C49</f>
        <v>0</v>
      </c>
      <c r="K49" s="126">
        <v>0</v>
      </c>
      <c r="L49" s="124">
        <f>M49/C49</f>
        <v>0</v>
      </c>
      <c r="M49" s="126">
        <v>0</v>
      </c>
      <c r="N49" s="124">
        <f>O49/C49</f>
        <v>0</v>
      </c>
      <c r="O49" s="126">
        <v>0</v>
      </c>
    </row>
    <row r="50" spans="1:15" ht="15" customHeight="1">
      <c r="A50" s="137"/>
      <c r="B50" s="139"/>
      <c r="C50" s="147"/>
      <c r="D50" s="125"/>
      <c r="E50" s="127"/>
      <c r="F50" s="125"/>
      <c r="G50" s="127"/>
      <c r="H50" s="125"/>
      <c r="I50" s="127"/>
      <c r="J50" s="125"/>
      <c r="K50" s="127"/>
      <c r="L50" s="125"/>
      <c r="M50" s="127"/>
      <c r="N50" s="125"/>
      <c r="O50" s="127"/>
    </row>
    <row r="51" spans="1:15" ht="15" customHeight="1">
      <c r="A51" s="136" t="s">
        <v>690</v>
      </c>
      <c r="B51" s="138" t="s">
        <v>561</v>
      </c>
      <c r="C51" s="146">
        <f>ORÇAMENTO!F376</f>
        <v>52187.94</v>
      </c>
      <c r="D51" s="124">
        <f>E51/C51</f>
        <v>0.16666666666666666</v>
      </c>
      <c r="E51" s="126">
        <v>8697.99</v>
      </c>
      <c r="F51" s="124">
        <f>G51/C51</f>
        <v>0.16666666666666666</v>
      </c>
      <c r="G51" s="126">
        <v>8697.99</v>
      </c>
      <c r="H51" s="124">
        <f>I51/C51</f>
        <v>0.16666666666666666</v>
      </c>
      <c r="I51" s="126">
        <v>8697.99</v>
      </c>
      <c r="J51" s="124">
        <f>K51/C51</f>
        <v>0.16666666666666666</v>
      </c>
      <c r="K51" s="126">
        <v>8697.99</v>
      </c>
      <c r="L51" s="124">
        <f>M51/C51</f>
        <v>0.16666666666666666</v>
      </c>
      <c r="M51" s="126">
        <v>8697.99</v>
      </c>
      <c r="N51" s="124">
        <f>O51/C51</f>
        <v>0.16666666666666666</v>
      </c>
      <c r="O51" s="126">
        <v>8697.99</v>
      </c>
    </row>
    <row r="52" spans="1:15" ht="15" customHeight="1">
      <c r="A52" s="137"/>
      <c r="B52" s="139"/>
      <c r="C52" s="147"/>
      <c r="D52" s="125"/>
      <c r="E52" s="127"/>
      <c r="F52" s="125"/>
      <c r="G52" s="127"/>
      <c r="H52" s="125"/>
      <c r="I52" s="127"/>
      <c r="J52" s="125"/>
      <c r="K52" s="127"/>
      <c r="L52" s="125"/>
      <c r="M52" s="127"/>
      <c r="N52" s="125"/>
      <c r="O52" s="127"/>
    </row>
    <row r="53" spans="1:15" ht="15.75">
      <c r="A53" s="61"/>
      <c r="B53" s="148"/>
      <c r="C53" s="148"/>
      <c r="D53" s="62"/>
      <c r="E53" s="63"/>
      <c r="F53" s="62"/>
      <c r="G53" s="63"/>
      <c r="H53" s="62"/>
      <c r="I53" s="63"/>
      <c r="J53" s="62"/>
      <c r="K53" s="63"/>
      <c r="L53" s="63"/>
      <c r="M53" s="63"/>
      <c r="N53" s="62"/>
      <c r="O53" s="63"/>
    </row>
    <row r="54" spans="1:15" ht="15.75">
      <c r="A54" s="64"/>
      <c r="B54" s="65"/>
      <c r="C54" s="75"/>
      <c r="D54" s="62"/>
      <c r="E54" s="66"/>
      <c r="F54" s="62"/>
      <c r="G54" s="63"/>
      <c r="H54" s="62"/>
      <c r="I54" s="63"/>
      <c r="J54" s="62"/>
      <c r="K54" s="63"/>
      <c r="L54" s="63"/>
      <c r="M54" s="63"/>
      <c r="N54" s="62"/>
      <c r="O54" s="63"/>
    </row>
    <row r="55" spans="1:15" ht="15.75">
      <c r="A55" s="67"/>
      <c r="B55" s="68" t="s">
        <v>691</v>
      </c>
      <c r="C55" s="149">
        <f>SUM(C9:C52)</f>
        <v>529273.6215285496</v>
      </c>
      <c r="D55" s="128">
        <f>SUM(E9:E52)</f>
        <v>100236</v>
      </c>
      <c r="E55" s="129"/>
      <c r="F55" s="128">
        <v>108480.01861465286</v>
      </c>
      <c r="G55" s="129"/>
      <c r="H55" s="128">
        <f>SUM(I9:I52)</f>
        <v>141544.58</v>
      </c>
      <c r="I55" s="129"/>
      <c r="J55" s="128">
        <f>SUM(K9:K52)</f>
        <v>86075.86000000002</v>
      </c>
      <c r="K55" s="129"/>
      <c r="L55" s="128">
        <f>SUM(M9:M52)</f>
        <v>59248.49</v>
      </c>
      <c r="M55" s="129"/>
      <c r="N55" s="128">
        <f>SUM(O9:O52)</f>
        <v>33688.67</v>
      </c>
      <c r="O55" s="129"/>
    </row>
    <row r="56" spans="1:15" ht="15.75">
      <c r="A56" s="69"/>
      <c r="B56" s="70" t="s">
        <v>692</v>
      </c>
      <c r="C56" s="150"/>
      <c r="D56" s="128">
        <f>D55</f>
        <v>100236</v>
      </c>
      <c r="E56" s="129"/>
      <c r="F56" s="128">
        <f>D56+F55</f>
        <v>208716.01861465286</v>
      </c>
      <c r="G56" s="129"/>
      <c r="H56" s="128">
        <f>F56+H55</f>
        <v>350260.5986146529</v>
      </c>
      <c r="I56" s="129"/>
      <c r="J56" s="128">
        <f>H56+J55</f>
        <v>436336.45861465286</v>
      </c>
      <c r="K56" s="129"/>
      <c r="L56" s="128">
        <f>J56+L55</f>
        <v>495584.94861465285</v>
      </c>
      <c r="M56" s="129"/>
      <c r="N56" s="128">
        <f>L56+N55</f>
        <v>529273.6186146529</v>
      </c>
      <c r="O56" s="129"/>
    </row>
  </sheetData>
  <sheetProtection/>
  <mergeCells count="362">
    <mergeCell ref="H27:H28"/>
    <mergeCell ref="I27:I28"/>
    <mergeCell ref="J27:J28"/>
    <mergeCell ref="K27:K28"/>
    <mergeCell ref="N27:N28"/>
    <mergeCell ref="O27:O28"/>
    <mergeCell ref="A1:O3"/>
    <mergeCell ref="A4:O4"/>
    <mergeCell ref="A6:O6"/>
    <mergeCell ref="A5:O5"/>
    <mergeCell ref="A15:A16"/>
    <mergeCell ref="B15:B16"/>
    <mergeCell ref="C15:C16"/>
    <mergeCell ref="D15:D16"/>
    <mergeCell ref="E15:E16"/>
    <mergeCell ref="F15:F16"/>
    <mergeCell ref="G15:G16"/>
    <mergeCell ref="H15:H16"/>
    <mergeCell ref="I15:I16"/>
    <mergeCell ref="J15:J16"/>
    <mergeCell ref="K15:K16"/>
    <mergeCell ref="N15:N16"/>
    <mergeCell ref="O15:O16"/>
    <mergeCell ref="A27:A28"/>
    <mergeCell ref="B27:B28"/>
    <mergeCell ref="C27:C28"/>
    <mergeCell ref="D27:D28"/>
    <mergeCell ref="N55:O55"/>
    <mergeCell ref="O51:O52"/>
    <mergeCell ref="N33:N34"/>
    <mergeCell ref="O33:O34"/>
    <mergeCell ref="N35:N36"/>
    <mergeCell ref="N56:O56"/>
    <mergeCell ref="N43:N44"/>
    <mergeCell ref="O43:O44"/>
    <mergeCell ref="N45:N46"/>
    <mergeCell ref="O45:O46"/>
    <mergeCell ref="N47:N48"/>
    <mergeCell ref="O47:O48"/>
    <mergeCell ref="N49:N50"/>
    <mergeCell ref="O49:O50"/>
    <mergeCell ref="N51:N52"/>
    <mergeCell ref="N37:N38"/>
    <mergeCell ref="O37:O38"/>
    <mergeCell ref="N39:N40"/>
    <mergeCell ref="O39:O40"/>
    <mergeCell ref="N41:N42"/>
    <mergeCell ref="O41:O42"/>
    <mergeCell ref="H55:I55"/>
    <mergeCell ref="H56:I56"/>
    <mergeCell ref="N7:O7"/>
    <mergeCell ref="N8:O8"/>
    <mergeCell ref="N9:N10"/>
    <mergeCell ref="O9:O10"/>
    <mergeCell ref="N11:N12"/>
    <mergeCell ref="O11:O12"/>
    <mergeCell ref="N13:N14"/>
    <mergeCell ref="O13:O14"/>
    <mergeCell ref="N17:N18"/>
    <mergeCell ref="O17:O18"/>
    <mergeCell ref="N19:N20"/>
    <mergeCell ref="O19:O20"/>
    <mergeCell ref="N21:N22"/>
    <mergeCell ref="O21:O22"/>
    <mergeCell ref="H35:H36"/>
    <mergeCell ref="I35:I36"/>
    <mergeCell ref="H37:H38"/>
    <mergeCell ref="N23:N24"/>
    <mergeCell ref="O23:O24"/>
    <mergeCell ref="N25:N26"/>
    <mergeCell ref="O25:O26"/>
    <mergeCell ref="N29:N30"/>
    <mergeCell ref="O29:O30"/>
    <mergeCell ref="O35:O36"/>
    <mergeCell ref="I49:I50"/>
    <mergeCell ref="H51:H52"/>
    <mergeCell ref="I51:I52"/>
    <mergeCell ref="N31:N32"/>
    <mergeCell ref="O31:O32"/>
    <mergeCell ref="H43:H44"/>
    <mergeCell ref="I43:I44"/>
    <mergeCell ref="H45:H46"/>
    <mergeCell ref="I45:I46"/>
    <mergeCell ref="I33:I34"/>
    <mergeCell ref="H41:H42"/>
    <mergeCell ref="I41:I42"/>
    <mergeCell ref="J56:K56"/>
    <mergeCell ref="K45:K46"/>
    <mergeCell ref="J47:J48"/>
    <mergeCell ref="K47:K48"/>
    <mergeCell ref="J49:J50"/>
    <mergeCell ref="H47:H48"/>
    <mergeCell ref="I47:I48"/>
    <mergeCell ref="H49:H50"/>
    <mergeCell ref="H7:I7"/>
    <mergeCell ref="H8:I8"/>
    <mergeCell ref="H9:H10"/>
    <mergeCell ref="I9:I10"/>
    <mergeCell ref="H11:H12"/>
    <mergeCell ref="I11:I12"/>
    <mergeCell ref="H13:H14"/>
    <mergeCell ref="I13:I14"/>
    <mergeCell ref="H17:H18"/>
    <mergeCell ref="I17:I18"/>
    <mergeCell ref="H19:H20"/>
    <mergeCell ref="I19:I20"/>
    <mergeCell ref="H21:H22"/>
    <mergeCell ref="I21:I22"/>
    <mergeCell ref="H23:H24"/>
    <mergeCell ref="I23:I24"/>
    <mergeCell ref="H25:H26"/>
    <mergeCell ref="I25:I26"/>
    <mergeCell ref="H29:H30"/>
    <mergeCell ref="I29:I30"/>
    <mergeCell ref="H31:H32"/>
    <mergeCell ref="I31:I32"/>
    <mergeCell ref="H33:H34"/>
    <mergeCell ref="J45:J46"/>
    <mergeCell ref="J41:J42"/>
    <mergeCell ref="I37:I38"/>
    <mergeCell ref="H39:H40"/>
    <mergeCell ref="I39:I40"/>
    <mergeCell ref="K49:K50"/>
    <mergeCell ref="J51:J52"/>
    <mergeCell ref="K51:K52"/>
    <mergeCell ref="J55:K55"/>
    <mergeCell ref="J35:J36"/>
    <mergeCell ref="K35:K36"/>
    <mergeCell ref="J37:J38"/>
    <mergeCell ref="K37:K38"/>
    <mergeCell ref="J39:J40"/>
    <mergeCell ref="K39:K40"/>
    <mergeCell ref="K41:K42"/>
    <mergeCell ref="J43:J44"/>
    <mergeCell ref="K43:K44"/>
    <mergeCell ref="J23:J24"/>
    <mergeCell ref="K23:K24"/>
    <mergeCell ref="J25:J26"/>
    <mergeCell ref="K25:K26"/>
    <mergeCell ref="J29:J30"/>
    <mergeCell ref="K29:K30"/>
    <mergeCell ref="J31:J32"/>
    <mergeCell ref="K31:K32"/>
    <mergeCell ref="J33:J34"/>
    <mergeCell ref="K33:K34"/>
    <mergeCell ref="J11:J12"/>
    <mergeCell ref="K11:K12"/>
    <mergeCell ref="J13:J14"/>
    <mergeCell ref="K13:K14"/>
    <mergeCell ref="J17:J18"/>
    <mergeCell ref="K17:K18"/>
    <mergeCell ref="J19:J20"/>
    <mergeCell ref="K19:K20"/>
    <mergeCell ref="J21:J22"/>
    <mergeCell ref="K21:K22"/>
    <mergeCell ref="J7:K7"/>
    <mergeCell ref="J8:K8"/>
    <mergeCell ref="J9:J10"/>
    <mergeCell ref="K9:K10"/>
    <mergeCell ref="G13:G14"/>
    <mergeCell ref="G17:G18"/>
    <mergeCell ref="G19:G20"/>
    <mergeCell ref="G21:G22"/>
    <mergeCell ref="E41:E42"/>
    <mergeCell ref="E43:E44"/>
    <mergeCell ref="G23:G24"/>
    <mergeCell ref="G25:G26"/>
    <mergeCell ref="G29:G30"/>
    <mergeCell ref="G31:G32"/>
    <mergeCell ref="F39:F40"/>
    <mergeCell ref="G49:G50"/>
    <mergeCell ref="G37:G38"/>
    <mergeCell ref="G39:G40"/>
    <mergeCell ref="G41:G42"/>
    <mergeCell ref="G43:G44"/>
    <mergeCell ref="G45:G46"/>
    <mergeCell ref="G47:G48"/>
    <mergeCell ref="F49:F50"/>
    <mergeCell ref="G33:G34"/>
    <mergeCell ref="G35:G36"/>
    <mergeCell ref="E27:E28"/>
    <mergeCell ref="F27:F28"/>
    <mergeCell ref="G27:G28"/>
    <mergeCell ref="D56:E56"/>
    <mergeCell ref="F56:G56"/>
    <mergeCell ref="F43:F44"/>
    <mergeCell ref="D39:D40"/>
    <mergeCell ref="D49:D50"/>
    <mergeCell ref="C51:C52"/>
    <mergeCell ref="C55:C56"/>
    <mergeCell ref="E9:E10"/>
    <mergeCell ref="E11:E12"/>
    <mergeCell ref="E13:E14"/>
    <mergeCell ref="E17:E18"/>
    <mergeCell ref="E19:E20"/>
    <mergeCell ref="E21:E22"/>
    <mergeCell ref="E23:E24"/>
    <mergeCell ref="E45:E46"/>
    <mergeCell ref="C37:C38"/>
    <mergeCell ref="C39:C40"/>
    <mergeCell ref="C41:C42"/>
    <mergeCell ref="C43:C44"/>
    <mergeCell ref="C45:C46"/>
    <mergeCell ref="C47:C48"/>
    <mergeCell ref="C9:C10"/>
    <mergeCell ref="C11:C12"/>
    <mergeCell ref="C13:C14"/>
    <mergeCell ref="C17:C18"/>
    <mergeCell ref="F45:F46"/>
    <mergeCell ref="D47:D48"/>
    <mergeCell ref="F47:F48"/>
    <mergeCell ref="E37:E38"/>
    <mergeCell ref="E39:E40"/>
    <mergeCell ref="E33:E34"/>
    <mergeCell ref="D51:D52"/>
    <mergeCell ref="F51:F52"/>
    <mergeCell ref="B53:C53"/>
    <mergeCell ref="D55:E55"/>
    <mergeCell ref="F55:G55"/>
    <mergeCell ref="E47:E48"/>
    <mergeCell ref="E49:E50"/>
    <mergeCell ref="E51:E52"/>
    <mergeCell ref="G51:G52"/>
    <mergeCell ref="C49:C50"/>
    <mergeCell ref="A47:A48"/>
    <mergeCell ref="B47:B48"/>
    <mergeCell ref="A49:A50"/>
    <mergeCell ref="B49:B50"/>
    <mergeCell ref="A51:A52"/>
    <mergeCell ref="B51:B52"/>
    <mergeCell ref="A43:A44"/>
    <mergeCell ref="B43:B44"/>
    <mergeCell ref="D43:D44"/>
    <mergeCell ref="A45:A46"/>
    <mergeCell ref="B45:B46"/>
    <mergeCell ref="D45:D46"/>
    <mergeCell ref="A37:A38"/>
    <mergeCell ref="B37:B38"/>
    <mergeCell ref="D37:D38"/>
    <mergeCell ref="F37:F38"/>
    <mergeCell ref="A41:A42"/>
    <mergeCell ref="B41:B42"/>
    <mergeCell ref="D41:D42"/>
    <mergeCell ref="F41:F42"/>
    <mergeCell ref="A39:A40"/>
    <mergeCell ref="B39:B40"/>
    <mergeCell ref="A33:A34"/>
    <mergeCell ref="B33:B34"/>
    <mergeCell ref="D33:D34"/>
    <mergeCell ref="F33:F34"/>
    <mergeCell ref="A35:A36"/>
    <mergeCell ref="B35:B36"/>
    <mergeCell ref="D35:D36"/>
    <mergeCell ref="F35:F36"/>
    <mergeCell ref="C33:C34"/>
    <mergeCell ref="C35:C36"/>
    <mergeCell ref="E35:E36"/>
    <mergeCell ref="A29:A30"/>
    <mergeCell ref="B29:B30"/>
    <mergeCell ref="D29:D30"/>
    <mergeCell ref="F29:F30"/>
    <mergeCell ref="A31:A32"/>
    <mergeCell ref="B31:B32"/>
    <mergeCell ref="D31:D32"/>
    <mergeCell ref="F31:F32"/>
    <mergeCell ref="C29:C30"/>
    <mergeCell ref="C31:C32"/>
    <mergeCell ref="E29:E30"/>
    <mergeCell ref="E31:E32"/>
    <mergeCell ref="A23:A24"/>
    <mergeCell ref="B23:B24"/>
    <mergeCell ref="D23:D24"/>
    <mergeCell ref="F23:F24"/>
    <mergeCell ref="A25:A26"/>
    <mergeCell ref="B25:B26"/>
    <mergeCell ref="D25:D26"/>
    <mergeCell ref="F25:F26"/>
    <mergeCell ref="E25:E26"/>
    <mergeCell ref="C25:C26"/>
    <mergeCell ref="C23:C24"/>
    <mergeCell ref="A19:A20"/>
    <mergeCell ref="B19:B20"/>
    <mergeCell ref="D19:D20"/>
    <mergeCell ref="F19:F20"/>
    <mergeCell ref="A21:A22"/>
    <mergeCell ref="B21:B22"/>
    <mergeCell ref="D21:D22"/>
    <mergeCell ref="F21:F22"/>
    <mergeCell ref="C19:C20"/>
    <mergeCell ref="C21:C22"/>
    <mergeCell ref="A13:A14"/>
    <mergeCell ref="B13:B14"/>
    <mergeCell ref="D13:D14"/>
    <mergeCell ref="F13:F14"/>
    <mergeCell ref="A17:A18"/>
    <mergeCell ref="B17:B18"/>
    <mergeCell ref="D17:D18"/>
    <mergeCell ref="F17:F18"/>
    <mergeCell ref="A7:A8"/>
    <mergeCell ref="B7:C8"/>
    <mergeCell ref="D7:E7"/>
    <mergeCell ref="F7:G7"/>
    <mergeCell ref="D8:E8"/>
    <mergeCell ref="F8:G8"/>
    <mergeCell ref="G9:G10"/>
    <mergeCell ref="G11:G12"/>
    <mergeCell ref="A9:A10"/>
    <mergeCell ref="B9:B10"/>
    <mergeCell ref="D9:D10"/>
    <mergeCell ref="F9:F10"/>
    <mergeCell ref="A11:A12"/>
    <mergeCell ref="B11:B12"/>
    <mergeCell ref="D11:D12"/>
    <mergeCell ref="F11:F12"/>
    <mergeCell ref="L7:M7"/>
    <mergeCell ref="L8:M8"/>
    <mergeCell ref="L9:L10"/>
    <mergeCell ref="M9:M10"/>
    <mergeCell ref="L11:L12"/>
    <mergeCell ref="M11:M12"/>
    <mergeCell ref="L13:L14"/>
    <mergeCell ref="M13:M14"/>
    <mergeCell ref="L15:L16"/>
    <mergeCell ref="M15:M16"/>
    <mergeCell ref="L17:L18"/>
    <mergeCell ref="M17:M18"/>
    <mergeCell ref="L19:L20"/>
    <mergeCell ref="M19:M20"/>
    <mergeCell ref="L21:L22"/>
    <mergeCell ref="M21:M22"/>
    <mergeCell ref="L23:L24"/>
    <mergeCell ref="M23:M24"/>
    <mergeCell ref="L25:L26"/>
    <mergeCell ref="M25:M26"/>
    <mergeCell ref="L27:L28"/>
    <mergeCell ref="M27:M28"/>
    <mergeCell ref="L29:L30"/>
    <mergeCell ref="M29:M30"/>
    <mergeCell ref="L31:L32"/>
    <mergeCell ref="M31:M32"/>
    <mergeCell ref="L33:L34"/>
    <mergeCell ref="M33:M34"/>
    <mergeCell ref="L35:L36"/>
    <mergeCell ref="M35:M36"/>
    <mergeCell ref="L37:L38"/>
    <mergeCell ref="M37:M38"/>
    <mergeCell ref="L39:L40"/>
    <mergeCell ref="M39:M40"/>
    <mergeCell ref="L41:L42"/>
    <mergeCell ref="M41:M42"/>
    <mergeCell ref="L43:L44"/>
    <mergeCell ref="M43:M44"/>
    <mergeCell ref="L45:L46"/>
    <mergeCell ref="M45:M46"/>
    <mergeCell ref="L47:L48"/>
    <mergeCell ref="M47:M48"/>
    <mergeCell ref="L49:L50"/>
    <mergeCell ref="M49:M50"/>
    <mergeCell ref="L51:L52"/>
    <mergeCell ref="M51:M52"/>
    <mergeCell ref="L55:M55"/>
    <mergeCell ref="L56:M56"/>
  </mergeCells>
  <printOptions/>
  <pageMargins left="0.5118110236220472" right="0.5118110236220472" top="0.7874015748031497" bottom="0.7874015748031497" header="0.31496062992125984" footer="0.31496062992125984"/>
  <pageSetup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fabricio.guimaraes</dc:creator>
  <cp:keywords/>
  <dc:description/>
  <cp:lastModifiedBy>Pollyanna Camatta</cp:lastModifiedBy>
  <cp:lastPrinted>2018-03-21T16:28:55Z</cp:lastPrinted>
  <dcterms:created xsi:type="dcterms:W3CDTF">2017-10-26T15:51:16Z</dcterms:created>
  <dcterms:modified xsi:type="dcterms:W3CDTF">2018-05-11T20:46:58Z</dcterms:modified>
  <cp:category/>
  <cp:version/>
  <cp:contentType/>
  <cp:contentStatus/>
</cp:coreProperties>
</file>